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0" yWindow="0" windowWidth="20220" windowHeight="6885"/>
  </bookViews>
  <sheets>
    <sheet name="Tildeling i alt" sheetId="4" r:id="rId1"/>
    <sheet name="enhedspriser" sheetId="6" r:id="rId2"/>
    <sheet name="socio - øk " sheetId="9" r:id="rId3"/>
    <sheet name="Principper" sheetId="12" r:id="rId4"/>
    <sheet name="grundtildeling" sheetId="13" r:id="rId5"/>
    <sheet name="ledelse" sheetId="1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4" l="1"/>
  <c r="M67" i="4"/>
  <c r="J67" i="4"/>
  <c r="S52" i="4"/>
  <c r="F67" i="4" l="1"/>
  <c r="G63" i="4" l="1"/>
  <c r="G59" i="4"/>
  <c r="G55" i="4"/>
  <c r="G52" i="4"/>
  <c r="G48" i="4"/>
  <c r="G47" i="4"/>
  <c r="G46" i="4"/>
  <c r="G45" i="4"/>
  <c r="G35" i="4"/>
  <c r="G34" i="4"/>
  <c r="G12" i="4"/>
  <c r="G13" i="4"/>
  <c r="G10" i="4"/>
  <c r="G9" i="4"/>
  <c r="D5" i="13" l="1"/>
  <c r="D41" i="6" l="1"/>
  <c r="D3" i="13" l="1"/>
  <c r="F4" i="13"/>
  <c r="E30" i="4" s="1"/>
  <c r="F12" i="13"/>
  <c r="E48" i="4" s="1"/>
  <c r="F10" i="13"/>
  <c r="E46" i="4" s="1"/>
  <c r="F6" i="13"/>
  <c r="E57" i="4" s="1"/>
  <c r="F8" i="13"/>
  <c r="E65" i="4" s="1"/>
  <c r="F7" i="13"/>
  <c r="E61" i="4" s="1"/>
  <c r="Y64" i="4"/>
  <c r="B19" i="15" l="1"/>
  <c r="B9" i="15"/>
  <c r="F11" i="13" l="1"/>
  <c r="E47" i="4" s="1"/>
  <c r="F9" i="13"/>
  <c r="E45" i="4" s="1"/>
  <c r="F13" i="13"/>
  <c r="E52" i="4" s="1"/>
  <c r="F3" i="13"/>
  <c r="E16" i="4" s="1"/>
  <c r="F5" i="13"/>
  <c r="E41" i="4" s="1"/>
  <c r="E67" i="4" l="1"/>
  <c r="E14" i="13"/>
  <c r="C15" i="4" l="1"/>
  <c r="G15" i="4" s="1"/>
  <c r="C26" i="4"/>
  <c r="G26" i="4" s="1"/>
  <c r="C24" i="4"/>
  <c r="G24" i="4" s="1"/>
  <c r="C21" i="4"/>
  <c r="G21" i="4" s="1"/>
  <c r="C20" i="4"/>
  <c r="G20" i="4" s="1"/>
  <c r="C19" i="4"/>
  <c r="G19" i="4" s="1"/>
  <c r="C29" i="4"/>
  <c r="G29" i="4" s="1"/>
  <c r="C28" i="4"/>
  <c r="G28" i="4" s="1"/>
  <c r="C39" i="4"/>
  <c r="G39" i="4" s="1"/>
  <c r="C38" i="4"/>
  <c r="G38" i="4" s="1"/>
  <c r="C64" i="4"/>
  <c r="C60" i="4"/>
  <c r="C56" i="4"/>
  <c r="C40" i="4"/>
  <c r="G40" i="4" s="1"/>
  <c r="C37" i="4"/>
  <c r="C27" i="4"/>
  <c r="G27" i="4" s="1"/>
  <c r="C25" i="4"/>
  <c r="G25" i="4" s="1"/>
  <c r="C23" i="4"/>
  <c r="G23" i="4" s="1"/>
  <c r="C22" i="4"/>
  <c r="C14" i="4"/>
  <c r="G14" i="4" s="1"/>
  <c r="C11" i="4"/>
  <c r="B8" i="9"/>
  <c r="C61" i="4" l="1"/>
  <c r="G60" i="4"/>
  <c r="C30" i="4"/>
  <c r="C67" i="4" s="1"/>
  <c r="D8" i="6" s="1"/>
  <c r="G22" i="4"/>
  <c r="C41" i="4"/>
  <c r="G37" i="4"/>
  <c r="C65" i="4"/>
  <c r="G64" i="4"/>
  <c r="C16" i="4"/>
  <c r="G11" i="4"/>
  <c r="G16" i="4" s="1"/>
  <c r="C57" i="4"/>
  <c r="G56" i="4"/>
  <c r="D31" i="6" l="1"/>
  <c r="O61" i="4"/>
  <c r="N61" i="4"/>
  <c r="M61" i="4"/>
  <c r="D22" i="6" l="1"/>
  <c r="N16" i="4" l="1"/>
  <c r="O16" i="4"/>
  <c r="P16" i="4"/>
  <c r="Q16" i="4"/>
  <c r="R16" i="4"/>
  <c r="N30" i="4"/>
  <c r="O30" i="4"/>
  <c r="P30" i="4"/>
  <c r="Q30" i="4"/>
  <c r="R30" i="4"/>
  <c r="N41" i="4"/>
  <c r="O41" i="4"/>
  <c r="P41" i="4"/>
  <c r="Q41" i="4"/>
  <c r="R41" i="4"/>
  <c r="M41" i="4"/>
  <c r="R61" i="4"/>
  <c r="N57" i="4"/>
  <c r="O57" i="4"/>
  <c r="P57" i="4"/>
  <c r="Q57" i="4"/>
  <c r="R57" i="4"/>
  <c r="P61" i="4"/>
  <c r="Q61" i="4"/>
  <c r="M22" i="4"/>
  <c r="O67" i="4" l="1"/>
  <c r="N67" i="4"/>
  <c r="P67" i="4"/>
  <c r="M65" i="4"/>
  <c r="M57" i="4"/>
  <c r="I45" i="4"/>
  <c r="D15" i="6"/>
  <c r="H47" i="4"/>
  <c r="H46" i="4"/>
  <c r="H45" i="4"/>
  <c r="H64" i="4"/>
  <c r="H60" i="4"/>
  <c r="H61" i="4" s="1"/>
  <c r="H56" i="4"/>
  <c r="H57" i="4" s="1"/>
  <c r="H40" i="4"/>
  <c r="H37" i="4"/>
  <c r="H27" i="4"/>
  <c r="H25" i="4"/>
  <c r="H23" i="4"/>
  <c r="H22" i="4"/>
  <c r="H14" i="4"/>
  <c r="H11" i="4"/>
  <c r="H16" i="4" l="1"/>
  <c r="C10" i="6"/>
  <c r="E10" i="6" s="1"/>
  <c r="D5" i="6" l="1"/>
  <c r="B14" i="13"/>
  <c r="U41" i="4" l="1"/>
  <c r="D14" i="13" l="1"/>
  <c r="F14" i="13" s="1"/>
  <c r="I52" i="4" l="1"/>
  <c r="I48" i="4"/>
  <c r="I46" i="4"/>
  <c r="I47" i="4"/>
  <c r="I41" i="4"/>
  <c r="T41" i="4"/>
  <c r="U30" i="4"/>
  <c r="T30" i="4"/>
  <c r="T16" i="4"/>
  <c r="U13" i="4"/>
  <c r="U16" i="4" s="1"/>
  <c r="I16" i="4" s="1"/>
  <c r="M16" i="4"/>
  <c r="M30" i="4"/>
  <c r="H65" i="4"/>
  <c r="B36" i="6"/>
  <c r="B31" i="6"/>
  <c r="T67" i="4" l="1"/>
  <c r="I30" i="4"/>
  <c r="I67" i="4" s="1"/>
  <c r="U67" i="4"/>
  <c r="H41" i="4"/>
  <c r="H30" i="4"/>
  <c r="H67" i="4" l="1"/>
  <c r="B6" i="9"/>
  <c r="B11" i="9" l="1"/>
  <c r="E19" i="9" l="1"/>
  <c r="E11" i="6"/>
  <c r="F17" i="9" l="1"/>
  <c r="F16" i="9"/>
  <c r="F18" i="9"/>
  <c r="E22" i="9"/>
  <c r="K47" i="4"/>
  <c r="E14" i="6"/>
  <c r="E16" i="6" s="1"/>
  <c r="K65" i="4" s="1"/>
  <c r="K52" i="4"/>
  <c r="K48" i="4"/>
  <c r="G18" i="9" l="1"/>
  <c r="G16" i="9"/>
  <c r="G36" i="4"/>
  <c r="G17" i="9"/>
  <c r="K61" i="4"/>
  <c r="K57" i="4"/>
  <c r="K16" i="4"/>
  <c r="K30" i="4"/>
  <c r="K41" i="4"/>
  <c r="K46" i="4"/>
  <c r="K45" i="4"/>
  <c r="T68" i="4"/>
  <c r="K67" i="4" l="1"/>
  <c r="U68" i="4"/>
  <c r="D65" i="4" l="1"/>
  <c r="D61" i="4"/>
  <c r="D57" i="4"/>
  <c r="D41" i="4"/>
  <c r="D30" i="4" l="1"/>
  <c r="D16" i="4" l="1"/>
  <c r="D67" i="4" s="1"/>
  <c r="C3" i="13" l="1"/>
  <c r="D19" i="9"/>
  <c r="D32" i="6" l="1"/>
  <c r="E32" i="6" s="1"/>
  <c r="D36" i="6"/>
  <c r="D23" i="6" s="1"/>
  <c r="D24" i="6" s="1"/>
  <c r="D37" i="6" l="1"/>
  <c r="D7" i="6" s="1"/>
  <c r="E33" i="6" l="1"/>
  <c r="D6" i="6" s="1"/>
  <c r="D11" i="6" s="1"/>
  <c r="G61" i="4"/>
  <c r="G65" i="4"/>
  <c r="G19" i="9"/>
  <c r="G23" i="9" s="1"/>
  <c r="F10" i="4" l="1"/>
  <c r="F9" i="4"/>
  <c r="D14" i="6"/>
  <c r="D16" i="6" s="1"/>
  <c r="C16" i="6" s="1"/>
  <c r="F63" i="4"/>
  <c r="F59" i="4"/>
  <c r="F20" i="4"/>
  <c r="F24" i="4"/>
  <c r="F28" i="4"/>
  <c r="F21" i="4"/>
  <c r="F38" i="4"/>
  <c r="F55" i="4"/>
  <c r="F29" i="4"/>
  <c r="F13" i="4"/>
  <c r="F36" i="4"/>
  <c r="F26" i="4"/>
  <c r="F15" i="4"/>
  <c r="F19" i="4"/>
  <c r="F12" i="4"/>
  <c r="F39" i="4"/>
  <c r="F35" i="4"/>
  <c r="F48" i="4"/>
  <c r="J48" i="4" s="1"/>
  <c r="F34" i="4"/>
  <c r="F52" i="4"/>
  <c r="F47" i="4"/>
  <c r="J47" i="4" s="1"/>
  <c r="G57" i="4"/>
  <c r="G41" i="4"/>
  <c r="G30" i="4"/>
  <c r="J52" i="4" l="1"/>
  <c r="W52" i="4" s="1"/>
  <c r="X52" i="4" s="1"/>
  <c r="G67" i="4"/>
  <c r="F37" i="4"/>
  <c r="F25" i="4"/>
  <c r="F56" i="4"/>
  <c r="F57" i="4" s="1"/>
  <c r="J57" i="4" s="1"/>
  <c r="F64" i="4"/>
  <c r="F65" i="4" s="1"/>
  <c r="W48" i="4"/>
  <c r="X48" i="4" s="1"/>
  <c r="S48" i="4"/>
  <c r="W47" i="4"/>
  <c r="X47" i="4" s="1"/>
  <c r="S47" i="4"/>
  <c r="F45" i="4"/>
  <c r="J45" i="4" s="1"/>
  <c r="F14" i="4"/>
  <c r="F27" i="4"/>
  <c r="F40" i="4"/>
  <c r="F46" i="4"/>
  <c r="J46" i="4" s="1"/>
  <c r="F11" i="4"/>
  <c r="F16" i="4" s="1"/>
  <c r="J16" i="4" s="1"/>
  <c r="F60" i="4"/>
  <c r="F61" i="4" s="1"/>
  <c r="F22" i="4"/>
  <c r="F23" i="4"/>
  <c r="C12" i="13"/>
  <c r="C5" i="13"/>
  <c r="C11" i="13"/>
  <c r="C6" i="13"/>
  <c r="C10" i="13"/>
  <c r="C7" i="13"/>
  <c r="C13" i="13"/>
  <c r="C8" i="13"/>
  <c r="C9" i="13"/>
  <c r="C4" i="13"/>
  <c r="F41" i="4" l="1"/>
  <c r="J41" i="4" s="1"/>
  <c r="S65" i="4"/>
  <c r="J65" i="4"/>
  <c r="S61" i="4"/>
  <c r="J61" i="4"/>
  <c r="W61" i="4" s="1"/>
  <c r="X61" i="4" s="1"/>
  <c r="F30" i="4"/>
  <c r="W57" i="4"/>
  <c r="X57" i="4" s="1"/>
  <c r="S57" i="4"/>
  <c r="W46" i="4"/>
  <c r="X46" i="4" s="1"/>
  <c r="S46" i="4"/>
  <c r="W45" i="4"/>
  <c r="X45" i="4" s="1"/>
  <c r="S45" i="4"/>
  <c r="W41" i="4"/>
  <c r="X41" i="4" s="1"/>
  <c r="S41" i="4"/>
  <c r="W16" i="4"/>
  <c r="X16" i="4" s="1"/>
  <c r="S16" i="4"/>
  <c r="W65" i="4"/>
  <c r="X65" i="4" s="1"/>
  <c r="F11" i="9"/>
  <c r="J30" i="4" l="1"/>
  <c r="S30" i="4"/>
  <c r="W67" i="4"/>
  <c r="X67" i="4" s="1"/>
  <c r="W30" i="4" l="1"/>
  <c r="X30" i="4" s="1"/>
</calcChain>
</file>

<file path=xl/comments1.xml><?xml version="1.0" encoding="utf-8"?>
<comments xmlns="http://schemas.openxmlformats.org/spreadsheetml/2006/main">
  <authors>
    <author>Jette Poulsen</author>
  </authors>
  <commentList>
    <comment ref="P10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vedr. Lone V. Jensen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Incl. Billum
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pedel
</t>
        </r>
      </text>
    </comment>
    <comment ref="P35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pedel</t>
        </r>
      </text>
    </comment>
    <comment ref="P38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pedel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Jette Poulsen:</t>
        </r>
        <r>
          <rPr>
            <sz val="9"/>
            <color indexed="81"/>
            <rFont val="Tahoma"/>
            <family val="2"/>
          </rPr>
          <t xml:space="preserve">
*gitte pedersen
</t>
        </r>
      </text>
    </comment>
  </commentList>
</comments>
</file>

<file path=xl/sharedStrings.xml><?xml version="1.0" encoding="utf-8"?>
<sst xmlns="http://schemas.openxmlformats.org/spreadsheetml/2006/main" count="204" uniqueCount="186">
  <si>
    <t>Regnbuen - Horne</t>
  </si>
  <si>
    <t>Svalehuset - Janderup</t>
  </si>
  <si>
    <t>Hedevang - Alslev</t>
  </si>
  <si>
    <t>Outrup Børnehave</t>
  </si>
  <si>
    <t>Årre Børnehave</t>
  </si>
  <si>
    <t>Teglhuset - Nordenskov</t>
  </si>
  <si>
    <t>Naturligvis - Ansager</t>
  </si>
  <si>
    <t>Østervang</t>
  </si>
  <si>
    <t>Kærhøgevej</t>
  </si>
  <si>
    <t>Smørhullet</t>
  </si>
  <si>
    <t>Højgårdsparken</t>
  </si>
  <si>
    <t>Søndermarken</t>
  </si>
  <si>
    <t>Vestervold</t>
  </si>
  <si>
    <t>Børnehuset - Sdr. Allé</t>
  </si>
  <si>
    <t>Mælkevejen - Nr. Nebel</t>
  </si>
  <si>
    <t>Skovbrynet - Ølgod</t>
  </si>
  <si>
    <t>Agerbæk Børnehave</t>
  </si>
  <si>
    <t>Vuggestuen Lysningen</t>
  </si>
  <si>
    <t>Vuggestuen Skovbrynet</t>
  </si>
  <si>
    <t>Vuggestuen Nr. Nebel</t>
  </si>
  <si>
    <t>Vuggestuen Tistrup</t>
  </si>
  <si>
    <t>Vuggestuen Søndermarken</t>
  </si>
  <si>
    <t>Vuggestuen Østevang</t>
  </si>
  <si>
    <t>Vuggestuen Agerbæk</t>
  </si>
  <si>
    <t>Børnehuset Lysningen</t>
  </si>
  <si>
    <t>Oksbøl Børnehave *)</t>
  </si>
  <si>
    <t>Vuggestuen Skovmusen *)</t>
  </si>
  <si>
    <t>Skovmusen *)</t>
  </si>
  <si>
    <t>Vuggestuen Højgaardsparken</t>
  </si>
  <si>
    <t>Møllehuset Tistrup</t>
  </si>
  <si>
    <t>Holmeåhuset Starup</t>
  </si>
  <si>
    <t xml:space="preserve">Lundparken </t>
  </si>
  <si>
    <t xml:space="preserve">Trinbrættet </t>
  </si>
  <si>
    <t>Selvejende</t>
  </si>
  <si>
    <t>I alt Varde by</t>
  </si>
  <si>
    <t>I alt Højgårdsparken</t>
  </si>
  <si>
    <t>I alt Søndermarken</t>
  </si>
  <si>
    <t>I alt Møllehuset</t>
  </si>
  <si>
    <t>Vest:</t>
  </si>
  <si>
    <t>Børnebyer:</t>
  </si>
  <si>
    <t>I alt område Vest</t>
  </si>
  <si>
    <t>Vuggestue - Børnehuset Sdr. Allé</t>
  </si>
  <si>
    <t>Øst:</t>
  </si>
  <si>
    <t>Varde By:</t>
  </si>
  <si>
    <t>Kastanjehaven  Næsbjerg</t>
  </si>
  <si>
    <t>Tildeling ledelse ny struktur</t>
  </si>
  <si>
    <t>Dagtilbudsleder</t>
  </si>
  <si>
    <t>Daglig leder/souschef</t>
  </si>
  <si>
    <t>I alt</t>
  </si>
  <si>
    <t>I alt område Øst</t>
  </si>
  <si>
    <t>Nuværende</t>
  </si>
  <si>
    <t>Løn</t>
  </si>
  <si>
    <t>Inklusionstimer</t>
  </si>
  <si>
    <t>Bedre kvalitet</t>
  </si>
  <si>
    <t>Inklusionstimer:</t>
  </si>
  <si>
    <t>Pr. enhed</t>
  </si>
  <si>
    <t>Bedre kvalitet i dagtilbud</t>
  </si>
  <si>
    <t>I alt pr. enhed</t>
  </si>
  <si>
    <t>Tildeling pr.enhed i 2017:</t>
  </si>
  <si>
    <t>Vuggestuebarn</t>
  </si>
  <si>
    <t>Fastholdelse af kvalitet</t>
  </si>
  <si>
    <t xml:space="preserve">Til gruppen - ikke lægges ind i faktoren, da denne så vil ændre sig år for år </t>
  </si>
  <si>
    <t>afhængig af antallet af vuggestuebørn som skal "dele" puljen.</t>
  </si>
  <si>
    <t>Akt. Afh. Udg.</t>
  </si>
  <si>
    <t>AKT -midler</t>
  </si>
  <si>
    <t>Skoleområdet</t>
  </si>
  <si>
    <t>Dagtilbud</t>
  </si>
  <si>
    <t>Inklusionstimer (tidl. Støttekorps)</t>
  </si>
  <si>
    <t>½ fordeles på alle børn og ½ til soc. Øk</t>
  </si>
  <si>
    <t>Inklusionsmidler (50%)</t>
  </si>
  <si>
    <t>Heraf 50% på alle børn</t>
  </si>
  <si>
    <t>Antal enheder 17/18</t>
  </si>
  <si>
    <t>0-2 årige</t>
  </si>
  <si>
    <t>Ledelse excl. Dagtilbudsleder</t>
  </si>
  <si>
    <t>Lønbudget i alt</t>
  </si>
  <si>
    <t>Børnecenter:</t>
  </si>
  <si>
    <t>Madbudget</t>
  </si>
  <si>
    <t>Udvidet åbningstid</t>
  </si>
  <si>
    <t>Udover ovenævnte tildeling er der flg. Pulje som fordeles særskilt:</t>
  </si>
  <si>
    <t>Handicappuljen</t>
  </si>
  <si>
    <t>Sprogvurdering (3 årige)</t>
  </si>
  <si>
    <t>Sprogstimulering</t>
  </si>
  <si>
    <t>Startpakkemidler</t>
  </si>
  <si>
    <t xml:space="preserve">Nødpasning </t>
  </si>
  <si>
    <t>Busordninger</t>
  </si>
  <si>
    <t>Erhvervsansvarsforsikring</t>
  </si>
  <si>
    <t>Vægtning</t>
  </si>
  <si>
    <t>Principper for ny tildelingsmodel:</t>
  </si>
  <si>
    <t>Ud fra oplæg:</t>
  </si>
  <si>
    <t>Enhedspris pr. barn</t>
  </si>
  <si>
    <t>Foreslås fortsat at dette fordeles pr. enhed.</t>
  </si>
  <si>
    <t>Foreslås at ½ fordeles pr. enhed og resten fordeles som socio-øk.</t>
  </si>
  <si>
    <t>Fastholdelse af kvalitet i  dagtilbud</t>
  </si>
  <si>
    <t>Foreslås fortsat fordelt på alle 0-2 års pladser.</t>
  </si>
  <si>
    <t>Fordeles:</t>
  </si>
  <si>
    <t>Fastholdes i centrale puljer som fordeles:</t>
  </si>
  <si>
    <t>Handicappulje</t>
  </si>
  <si>
    <t>Fordeling af socio-øk:</t>
  </si>
  <si>
    <t>Uafklaret:</t>
  </si>
  <si>
    <t>Nødpasning</t>
  </si>
  <si>
    <t>Sprogvurdering</t>
  </si>
  <si>
    <t>Gennemsnit kr. / enhed</t>
  </si>
  <si>
    <t>Timer enhed/uge</t>
  </si>
  <si>
    <t>Antal enheder</t>
  </si>
  <si>
    <t>Kr. pr. enhed</t>
  </si>
  <si>
    <t>Samlet beløb pr. katagori</t>
  </si>
  <si>
    <t>Forskel i forhold til samlet ramme</t>
  </si>
  <si>
    <t>Forslag til fordeling af socio-økonomi på dagtilbudsområdet</t>
  </si>
  <si>
    <t>Beløb til fordeling:</t>
  </si>
  <si>
    <t>Andel af grundtildeling til løn</t>
  </si>
  <si>
    <t>Tistrup</t>
  </si>
  <si>
    <t>Øst</t>
  </si>
  <si>
    <t>Varde By</t>
  </si>
  <si>
    <t>Grundtildeling - bl.a. afstand mellem insti./afdelinger.</t>
  </si>
  <si>
    <t>Højgårsparken</t>
  </si>
  <si>
    <t>Årre</t>
  </si>
  <si>
    <t>Antal inst.</t>
  </si>
  <si>
    <t xml:space="preserve">Vest </t>
  </si>
  <si>
    <t>ligelig ift. Børnetal</t>
  </si>
  <si>
    <t>Grundtildeling</t>
  </si>
  <si>
    <t xml:space="preserve">Flyttet til grundtildeling </t>
  </si>
  <si>
    <t>Genn. Snit pr. inst</t>
  </si>
  <si>
    <t>Børneby = genn.</t>
  </si>
  <si>
    <t>Selvejende Varde By</t>
  </si>
  <si>
    <t>Selvejende udenfor Varde By</t>
  </si>
  <si>
    <t>Færre børn end Varde By men større afstand</t>
  </si>
  <si>
    <t>store institutioner</t>
  </si>
  <si>
    <t>begrundet i flere børn/ansatte ift. Børneby</t>
  </si>
  <si>
    <t>Grundtildeling:</t>
  </si>
  <si>
    <t>Afsat</t>
  </si>
  <si>
    <t>pr. enhed</t>
  </si>
  <si>
    <t>Børnecenter: 1,25 x genn. Snit</t>
  </si>
  <si>
    <t>Grundtildeling pr. dagtilbudsområde</t>
  </si>
  <si>
    <t xml:space="preserve"> Beløb pr. enhed</t>
  </si>
  <si>
    <t>Børnehavebørn:</t>
  </si>
  <si>
    <t>Tidl. Rengøringspenge</t>
  </si>
  <si>
    <t>I alt pr. vuggestuebarn/0-2 års barn</t>
  </si>
  <si>
    <t>Socio-økonomi</t>
  </si>
  <si>
    <t>Dagtilbudspulje</t>
  </si>
  <si>
    <t>Ingen uddannelsespulje fra 1.1.2018</t>
  </si>
  <si>
    <t>Dagtilbudspuljen</t>
  </si>
  <si>
    <t>Reduktion til socio-økonomi</t>
  </si>
  <si>
    <t>Prognose 100% omregnet til enheder</t>
  </si>
  <si>
    <t>Særlig ordninger (pedel/fleksjob)</t>
  </si>
  <si>
    <t>Prognose 17/18 pr. 1.8.17 - 100% - antal børn</t>
  </si>
  <si>
    <t>Løntildeling udregnet pr. enhed</t>
  </si>
  <si>
    <t>Ud fra genn. Løn på 402.934 kr. svarer dette til 4,47 pæd. Time/uge. Excl. Ledelse.</t>
  </si>
  <si>
    <t>Børnetal er excl. 21 børn i Billum bhv.</t>
  </si>
  <si>
    <t>kr. pr. barn pr. år</t>
  </si>
  <si>
    <t>Fra enhedstildeling for at nå 5%</t>
  </si>
  <si>
    <t>Gruppe 1</t>
  </si>
  <si>
    <t>Gruppe 2</t>
  </si>
  <si>
    <t>Gruppe 3</t>
  </si>
  <si>
    <t>Vuggestuen Isbjergparken</t>
  </si>
  <si>
    <t>Tildeling  afstande</t>
  </si>
  <si>
    <t>Grundtildeling kørsel</t>
  </si>
  <si>
    <t>Inst. Udenfor Varde By</t>
  </si>
  <si>
    <t>Inst. I Varde By</t>
  </si>
  <si>
    <t>Afstand mellem klyngens institutioner samt afstand til Varde (ledermøde, lederforum m.m) - 500.000 kr.</t>
  </si>
  <si>
    <t>Ledelsestildeling dagtilbud - ny struktur 1. august 2018</t>
  </si>
  <si>
    <t>Antal timer/uge</t>
  </si>
  <si>
    <t>Fælleledet dagtilbud:</t>
  </si>
  <si>
    <t xml:space="preserve">Dagtilbudsleder </t>
  </si>
  <si>
    <t>Souschef</t>
  </si>
  <si>
    <t>Dagtilbudsleder i institutioner under 120 børn</t>
  </si>
  <si>
    <t>Daglige ledere:</t>
  </si>
  <si>
    <t>0 - 35 børn</t>
  </si>
  <si>
    <t>36 - 60 børn</t>
  </si>
  <si>
    <t>61 - 90 børn</t>
  </si>
  <si>
    <t>91 - børn</t>
  </si>
  <si>
    <t>Ikke fællesledet dagtilbud:</t>
  </si>
  <si>
    <t>Børnebyer (skole og dagtilbud i alt):</t>
  </si>
  <si>
    <t>der er regnet med 12 timer på dagtilbud</t>
  </si>
  <si>
    <t>Grundtildeling i alt</t>
  </si>
  <si>
    <t>Akt. Afh. Udgifter*</t>
  </si>
  <si>
    <t>Akt. Afhængige udgifter beregnet udfra afsat budgetbeløb excl. Reduktion som følge af indkøbsaftaler.</t>
  </si>
  <si>
    <t>fast - akt. Afh. Reguleres evt. som følge af indkøbspuljer</t>
  </si>
  <si>
    <t>Besparelse kopimaskiner</t>
  </si>
  <si>
    <t>variabel afhængig af børnetallet da tildelingen er fast beløb.</t>
  </si>
  <si>
    <t>fordeling af 500.000 kr. som er fratrukket enhedsbeløb pr. enhed.</t>
  </si>
  <si>
    <t>Fordeles udfra socioøkonomi beregnet på 3 faktorer.</t>
  </si>
  <si>
    <t>Fordeling af 1.678 mio. kr.</t>
  </si>
  <si>
    <t>Kvalitetsmidler fra struktur</t>
  </si>
  <si>
    <t>Tildelingsmodel for Dagtilbud - gældende fra 1. august 2018.</t>
  </si>
  <si>
    <t>Budget i alt   (2017-pris)</t>
  </si>
  <si>
    <t>Ejendomme*specificeres senere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</si>
</sst>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4" xfId="0" applyBorder="1"/>
    <xf numFmtId="3" fontId="0" fillId="0" borderId="4" xfId="0" applyNumberFormat="1" applyBorder="1"/>
    <xf numFmtId="0" fontId="0" fillId="0" borderId="9" xfId="0" applyBorder="1"/>
    <xf numFmtId="0" fontId="0" fillId="0" borderId="7" xfId="0" applyBorder="1"/>
    <xf numFmtId="0" fontId="0" fillId="0" borderId="0" xfId="0" applyBorder="1" applyAlignment="1">
      <alignment wrapText="1"/>
    </xf>
    <xf numFmtId="0" fontId="0" fillId="0" borderId="6" xfId="0" applyBorder="1"/>
    <xf numFmtId="0" fontId="0" fillId="0" borderId="0" xfId="0" applyFill="1" applyBorder="1"/>
    <xf numFmtId="0" fontId="0" fillId="0" borderId="3" xfId="0" applyFill="1" applyBorder="1"/>
    <xf numFmtId="0" fontId="0" fillId="0" borderId="9" xfId="0" applyFill="1" applyBorder="1"/>
    <xf numFmtId="0" fontId="1" fillId="0" borderId="0" xfId="0" applyFont="1" applyBorder="1"/>
    <xf numFmtId="0" fontId="0" fillId="3" borderId="0" xfId="0" applyFill="1" applyBorder="1" applyAlignment="1"/>
    <xf numFmtId="0" fontId="0" fillId="0" borderId="0" xfId="0" applyFill="1"/>
    <xf numFmtId="0" fontId="2" fillId="0" borderId="9" xfId="0" applyFont="1" applyBorder="1"/>
    <xf numFmtId="0" fontId="2" fillId="0" borderId="0" xfId="0" applyFont="1" applyBorder="1"/>
    <xf numFmtId="0" fontId="2" fillId="0" borderId="0" xfId="0" applyFont="1"/>
    <xf numFmtId="0" fontId="2" fillId="0" borderId="0" xfId="0" applyFont="1" applyFill="1" applyBorder="1"/>
    <xf numFmtId="3" fontId="2" fillId="0" borderId="0" xfId="0" applyNumberFormat="1" applyFont="1" applyBorder="1"/>
    <xf numFmtId="0" fontId="0" fillId="0" borderId="8" xfId="0" applyBorder="1"/>
    <xf numFmtId="0" fontId="0" fillId="0" borderId="1" xfId="0" applyBorder="1"/>
    <xf numFmtId="3" fontId="0" fillId="0" borderId="1" xfId="0" applyNumberFormat="1" applyBorder="1"/>
    <xf numFmtId="0" fontId="1" fillId="4" borderId="0" xfId="0" applyFont="1" applyFill="1"/>
    <xf numFmtId="3" fontId="1" fillId="4" borderId="0" xfId="0" applyNumberFormat="1" applyFont="1" applyFill="1"/>
    <xf numFmtId="4" fontId="0" fillId="0" borderId="1" xfId="0" applyNumberFormat="1" applyBorder="1"/>
    <xf numFmtId="4" fontId="0" fillId="0" borderId="0" xfId="0" applyNumberFormat="1"/>
    <xf numFmtId="0" fontId="0" fillId="0" borderId="0" xfId="0"/>
    <xf numFmtId="0" fontId="0" fillId="0" borderId="0" xfId="0" applyBorder="1"/>
    <xf numFmtId="3" fontId="0" fillId="0" borderId="0" xfId="0" applyNumberFormat="1" applyBorder="1"/>
    <xf numFmtId="0" fontId="0" fillId="0" borderId="3" xfId="0" applyBorder="1"/>
    <xf numFmtId="0" fontId="0" fillId="0" borderId="9" xfId="0" applyBorder="1"/>
    <xf numFmtId="0" fontId="0" fillId="0" borderId="7" xfId="0" applyBorder="1"/>
    <xf numFmtId="0" fontId="0" fillId="0" borderId="9" xfId="0" applyFill="1" applyBorder="1"/>
    <xf numFmtId="3" fontId="0" fillId="0" borderId="3" xfId="0" applyNumberFormat="1" applyBorder="1"/>
    <xf numFmtId="0" fontId="0" fillId="0" borderId="0" xfId="0" applyFill="1" applyBorder="1" applyAlignment="1"/>
    <xf numFmtId="3" fontId="0" fillId="0" borderId="0" xfId="0" applyNumberFormat="1"/>
    <xf numFmtId="3" fontId="0" fillId="0" borderId="0" xfId="0" applyNumberFormat="1" applyFill="1" applyBorder="1" applyAlignment="1"/>
    <xf numFmtId="3" fontId="0" fillId="3" borderId="0" xfId="0" applyNumberFormat="1" applyFill="1" applyBorder="1" applyAlignment="1"/>
    <xf numFmtId="3" fontId="0" fillId="3" borderId="1" xfId="0" applyNumberFormat="1" applyFill="1" applyBorder="1" applyAlignment="1"/>
    <xf numFmtId="0" fontId="0" fillId="0" borderId="9" xfId="0" applyFill="1" applyBorder="1" applyAlignment="1"/>
    <xf numFmtId="0" fontId="0" fillId="0" borderId="0" xfId="0" applyFill="1" applyBorder="1" applyAlignment="1"/>
    <xf numFmtId="0" fontId="0" fillId="0" borderId="0" xfId="0" applyFill="1" applyAlignment="1">
      <alignment wrapText="1"/>
    </xf>
    <xf numFmtId="3" fontId="1" fillId="0" borderId="0" xfId="0" applyNumberFormat="1" applyFont="1" applyFill="1"/>
    <xf numFmtId="3" fontId="0" fillId="0" borderId="0" xfId="0" applyNumberFormat="1" applyFont="1" applyFill="1"/>
    <xf numFmtId="0" fontId="0" fillId="0" borderId="0" xfId="0" applyAlignment="1">
      <alignment horizontal="left" indent="1"/>
    </xf>
    <xf numFmtId="0" fontId="5" fillId="0" borderId="0" xfId="0" applyFont="1"/>
    <xf numFmtId="0" fontId="6" fillId="0" borderId="0" xfId="0" applyFont="1"/>
    <xf numFmtId="0" fontId="1" fillId="0" borderId="6" xfId="0" applyFont="1" applyBorder="1"/>
    <xf numFmtId="0" fontId="0" fillId="0" borderId="5" xfId="0" applyBorder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2" xfId="0" applyBorder="1"/>
    <xf numFmtId="0" fontId="1" fillId="3" borderId="1" xfId="0" applyFont="1" applyFill="1" applyBorder="1" applyAlignment="1"/>
    <xf numFmtId="0" fontId="0" fillId="0" borderId="4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3" fontId="0" fillId="0" borderId="11" xfId="0" applyNumberFormat="1" applyBorder="1"/>
    <xf numFmtId="0" fontId="0" fillId="0" borderId="11" xfId="0" applyBorder="1"/>
    <xf numFmtId="0" fontId="8" fillId="0" borderId="0" xfId="0" applyFont="1"/>
    <xf numFmtId="10" fontId="0" fillId="0" borderId="0" xfId="0" applyNumberFormat="1" applyAlignment="1">
      <alignment horizontal="right" indent="2"/>
    </xf>
    <xf numFmtId="0" fontId="0" fillId="0" borderId="4" xfId="0" applyBorder="1" applyAlignment="1">
      <alignment wrapText="1"/>
    </xf>
    <xf numFmtId="16" fontId="0" fillId="0" borderId="9" xfId="0" applyNumberFormat="1" applyBorder="1"/>
    <xf numFmtId="0" fontId="0" fillId="0" borderId="12" xfId="0" applyBorder="1" applyAlignment="1">
      <alignment wrapText="1"/>
    </xf>
    <xf numFmtId="3" fontId="0" fillId="0" borderId="13" xfId="0" applyNumberFormat="1" applyBorder="1"/>
    <xf numFmtId="0" fontId="0" fillId="0" borderId="13" xfId="0" applyBorder="1"/>
    <xf numFmtId="3" fontId="0" fillId="0" borderId="14" xfId="0" applyNumberFormat="1" applyBorder="1"/>
    <xf numFmtId="0" fontId="0" fillId="0" borderId="15" xfId="0" applyBorder="1"/>
    <xf numFmtId="0" fontId="0" fillId="0" borderId="14" xfId="0" applyBorder="1"/>
    <xf numFmtId="0" fontId="0" fillId="0" borderId="12" xfId="0" applyBorder="1"/>
    <xf numFmtId="164" fontId="0" fillId="0" borderId="0" xfId="1" applyFont="1"/>
    <xf numFmtId="4" fontId="0" fillId="0" borderId="13" xfId="0" applyNumberFormat="1" applyBorder="1"/>
    <xf numFmtId="0" fontId="1" fillId="0" borderId="9" xfId="0" applyFont="1" applyBorder="1"/>
    <xf numFmtId="0" fontId="0" fillId="0" borderId="9" xfId="0" applyFont="1" applyBorder="1"/>
    <xf numFmtId="0" fontId="1" fillId="0" borderId="4" xfId="0" applyFont="1" applyBorder="1"/>
    <xf numFmtId="4" fontId="0" fillId="0" borderId="0" xfId="0" applyNumberFormat="1" applyBorder="1"/>
    <xf numFmtId="0" fontId="9" fillId="0" borderId="0" xfId="0" applyFont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3" fontId="1" fillId="4" borderId="0" xfId="0" applyNumberFormat="1" applyFont="1" applyFill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wrapText="1"/>
    </xf>
    <xf numFmtId="3" fontId="1" fillId="0" borderId="1" xfId="0" applyNumberFormat="1" applyFont="1" applyBorder="1"/>
    <xf numFmtId="3" fontId="0" fillId="0" borderId="1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/>
    <xf numFmtId="2" fontId="0" fillId="0" borderId="0" xfId="0" applyNumberFormat="1"/>
    <xf numFmtId="0" fontId="8" fillId="0" borderId="6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9" xfId="0" applyFont="1" applyBorder="1"/>
    <xf numFmtId="0" fontId="6" fillId="0" borderId="10" xfId="0" applyFont="1" applyBorder="1"/>
    <xf numFmtId="4" fontId="6" fillId="0" borderId="0" xfId="0" applyNumberFormat="1" applyFont="1" applyBorder="1"/>
    <xf numFmtId="0" fontId="6" fillId="0" borderId="9" xfId="0" applyFont="1" applyBorder="1" applyAlignment="1">
      <alignment wrapText="1"/>
    </xf>
    <xf numFmtId="4" fontId="6" fillId="0" borderId="10" xfId="0" applyNumberFormat="1" applyFont="1" applyBorder="1"/>
    <xf numFmtId="0" fontId="8" fillId="0" borderId="9" xfId="0" applyFont="1" applyBorder="1"/>
    <xf numFmtId="4" fontId="6" fillId="0" borderId="10" xfId="0" applyNumberFormat="1" applyFont="1" applyBorder="1" applyAlignment="1">
      <alignment wrapText="1"/>
    </xf>
    <xf numFmtId="2" fontId="6" fillId="0" borderId="0" xfId="0" applyNumberFormat="1" applyFont="1" applyBorder="1"/>
    <xf numFmtId="0" fontId="6" fillId="0" borderId="7" xfId="0" applyFont="1" applyBorder="1"/>
    <xf numFmtId="0" fontId="6" fillId="0" borderId="3" xfId="0" applyFont="1" applyBorder="1"/>
    <xf numFmtId="0" fontId="6" fillId="0" borderId="2" xfId="0" applyFont="1" applyBorder="1"/>
    <xf numFmtId="0" fontId="1" fillId="0" borderId="12" xfId="0" applyFont="1" applyBorder="1" applyAlignment="1">
      <alignment wrapText="1"/>
    </xf>
    <xf numFmtId="3" fontId="1" fillId="0" borderId="13" xfId="0" applyNumberFormat="1" applyFont="1" applyBorder="1"/>
    <xf numFmtId="0" fontId="1" fillId="0" borderId="14" xfId="0" applyFont="1" applyBorder="1"/>
    <xf numFmtId="0" fontId="0" fillId="0" borderId="2" xfId="0" applyBorder="1" applyAlignment="1">
      <alignment horizontal="center"/>
    </xf>
    <xf numFmtId="1" fontId="0" fillId="0" borderId="0" xfId="0" applyNumberFormat="1"/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3" fontId="1" fillId="4" borderId="1" xfId="0" applyNumberFormat="1" applyFont="1" applyFill="1" applyBorder="1"/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1" fillId="3" borderId="8" xfId="0" applyFont="1" applyFill="1" applyBorder="1" applyAlignment="1"/>
    <xf numFmtId="0" fontId="1" fillId="3" borderId="1" xfId="0" applyFont="1" applyFill="1" applyBorder="1" applyAlignment="1"/>
    <xf numFmtId="0" fontId="0" fillId="3" borderId="6" xfId="0" applyFill="1" applyBorder="1" applyAlignment="1"/>
    <xf numFmtId="0" fontId="0" fillId="3" borderId="4" xfId="0" applyFill="1" applyBorder="1" applyAlignment="1"/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2" xfId="0" applyFill="1" applyBorder="1" applyAlignment="1"/>
    <xf numFmtId="0" fontId="0" fillId="2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0" fillId="2" borderId="12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75"/>
  <sheetViews>
    <sheetView tabSelected="1" zoomScale="83" zoomScaleNormal="83" workbookViewId="0">
      <pane ySplit="6" topLeftCell="A7" activePane="bottomLeft" state="frozen"/>
      <selection pane="bottomLeft" activeCell="A3" sqref="A3"/>
    </sheetView>
  </sheetViews>
  <sheetFormatPr defaultRowHeight="15" x14ac:dyDescent="0.25"/>
  <cols>
    <col min="1" max="1" width="3.7109375" customWidth="1"/>
    <col min="2" max="2" width="30.85546875" customWidth="1"/>
    <col min="3" max="3" width="20.140625" style="77" customWidth="1"/>
    <col min="4" max="4" width="14.140625" style="77" customWidth="1"/>
    <col min="5" max="5" width="10.28515625" style="27" customWidth="1"/>
    <col min="6" max="6" width="12.7109375" style="29" customWidth="1"/>
    <col min="7" max="7" width="12.7109375" style="28" customWidth="1"/>
    <col min="8" max="8" width="13.42578125" style="28" customWidth="1"/>
    <col min="9" max="13" width="12.7109375" style="28" customWidth="1"/>
    <col min="14" max="14" width="13.7109375" style="28" customWidth="1"/>
    <col min="15" max="15" width="12.5703125" style="28" customWidth="1"/>
    <col min="16" max="16" width="16.85546875" style="28" customWidth="1"/>
    <col min="17" max="19" width="12.7109375" style="28" customWidth="1"/>
    <col min="20" max="20" width="10.5703125" hidden="1" customWidth="1"/>
    <col min="21" max="21" width="25.7109375" hidden="1" customWidth="1"/>
    <col min="22" max="23" width="9.140625" hidden="1" customWidth="1"/>
    <col min="24" max="24" width="9.85546875" hidden="1" customWidth="1"/>
    <col min="25" max="25" width="9.140625" hidden="1" customWidth="1"/>
  </cols>
  <sheetData>
    <row r="1" spans="1:24" x14ac:dyDescent="0.25">
      <c r="A1" s="1"/>
    </row>
    <row r="2" spans="1:24" ht="18.75" x14ac:dyDescent="0.3">
      <c r="A2" s="1"/>
      <c r="B2" s="138" t="s">
        <v>183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2"/>
      <c r="S2" s="12"/>
    </row>
    <row r="4" spans="1:24" ht="30.75" customHeight="1" x14ac:dyDescent="0.25">
      <c r="A4" s="127"/>
      <c r="B4" s="128"/>
      <c r="C4" s="136" t="s">
        <v>142</v>
      </c>
      <c r="D4" s="131" t="s">
        <v>144</v>
      </c>
      <c r="E4" s="133" t="s">
        <v>119</v>
      </c>
      <c r="F4" s="133" t="s">
        <v>145</v>
      </c>
      <c r="G4" s="133" t="s">
        <v>137</v>
      </c>
      <c r="H4" s="133" t="s">
        <v>60</v>
      </c>
      <c r="I4" s="133" t="s">
        <v>73</v>
      </c>
      <c r="J4" s="133" t="s">
        <v>74</v>
      </c>
      <c r="K4" s="133" t="s">
        <v>63</v>
      </c>
      <c r="L4" s="116" t="s">
        <v>177</v>
      </c>
      <c r="M4" s="133" t="s">
        <v>76</v>
      </c>
      <c r="N4" s="133" t="s">
        <v>84</v>
      </c>
      <c r="O4" s="133" t="s">
        <v>77</v>
      </c>
      <c r="P4" s="133" t="s">
        <v>143</v>
      </c>
      <c r="Q4" s="133" t="s">
        <v>185</v>
      </c>
      <c r="R4" s="133" t="s">
        <v>85</v>
      </c>
      <c r="S4" s="118" t="s">
        <v>184</v>
      </c>
      <c r="T4" s="121" t="s">
        <v>45</v>
      </c>
      <c r="U4" s="121"/>
    </row>
    <row r="5" spans="1:24" ht="30.75" customHeight="1" x14ac:dyDescent="0.25">
      <c r="A5" s="129"/>
      <c r="B5" s="130"/>
      <c r="C5" s="137"/>
      <c r="D5" s="132"/>
      <c r="E5" s="134"/>
      <c r="F5" s="134"/>
      <c r="G5" s="134"/>
      <c r="H5" s="134" t="s">
        <v>72</v>
      </c>
      <c r="I5" s="134"/>
      <c r="J5" s="134"/>
      <c r="K5" s="134"/>
      <c r="L5" s="117"/>
      <c r="M5" s="134"/>
      <c r="N5" s="134"/>
      <c r="O5" s="134"/>
      <c r="P5" s="134"/>
      <c r="Q5" s="134"/>
      <c r="R5" s="134"/>
      <c r="S5" s="119"/>
      <c r="T5" s="122"/>
      <c r="U5" s="122"/>
    </row>
    <row r="6" spans="1:24" s="14" customFormat="1" ht="30" x14ac:dyDescent="0.25">
      <c r="A6" s="40"/>
      <c r="B6" s="41"/>
      <c r="C6" s="90"/>
      <c r="D6" s="54"/>
      <c r="E6" s="41"/>
      <c r="F6" s="37"/>
      <c r="G6" s="35"/>
      <c r="H6" s="41"/>
      <c r="I6" s="35"/>
      <c r="J6" s="35"/>
      <c r="K6" s="35"/>
      <c r="L6" s="41"/>
      <c r="M6" s="35"/>
      <c r="N6" s="41"/>
      <c r="O6" s="35"/>
      <c r="P6" s="41"/>
      <c r="Q6" s="35"/>
      <c r="R6" s="35"/>
      <c r="S6" s="41"/>
      <c r="T6" s="42" t="s">
        <v>46</v>
      </c>
      <c r="U6" s="42" t="s">
        <v>47</v>
      </c>
    </row>
    <row r="7" spans="1:24" x14ac:dyDescent="0.25">
      <c r="F7" s="3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24" x14ac:dyDescent="0.25">
      <c r="A8" s="125" t="s">
        <v>38</v>
      </c>
      <c r="B8" s="126"/>
      <c r="C8" s="126"/>
      <c r="D8" s="126"/>
      <c r="E8" s="13"/>
      <c r="F8" s="3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>
        <v>37</v>
      </c>
      <c r="U8">
        <v>6</v>
      </c>
    </row>
    <row r="9" spans="1:24" x14ac:dyDescent="0.25">
      <c r="A9" s="8"/>
      <c r="B9" s="3" t="s">
        <v>3</v>
      </c>
      <c r="C9" s="91">
        <v>63</v>
      </c>
      <c r="D9" s="78">
        <v>63</v>
      </c>
      <c r="E9" s="29"/>
      <c r="F9" s="29">
        <f>D9*enhedspriser!$D$11</f>
        <v>3066071.2070775013</v>
      </c>
      <c r="G9" s="29">
        <f>C9*'socio - øk '!$F$16</f>
        <v>92949.450376884415</v>
      </c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U9">
        <v>14</v>
      </c>
    </row>
    <row r="10" spans="1:24" x14ac:dyDescent="0.25">
      <c r="A10" s="5"/>
      <c r="B10" s="2" t="s">
        <v>14</v>
      </c>
      <c r="C10" s="92">
        <v>47</v>
      </c>
      <c r="D10" s="79">
        <v>47</v>
      </c>
      <c r="E10" s="29"/>
      <c r="F10" s="29">
        <f>D10*enhedspriser!$D$11</f>
        <v>2287386.4560736916</v>
      </c>
      <c r="G10" s="29">
        <f>C10*'socio - øk '!$F$17</f>
        <v>98236.257739590816</v>
      </c>
      <c r="H10" s="29"/>
      <c r="I10" s="29"/>
      <c r="J10" s="29"/>
      <c r="K10" s="29"/>
      <c r="L10" s="29"/>
      <c r="M10" s="29"/>
      <c r="N10" s="29"/>
      <c r="O10" s="29"/>
      <c r="P10" s="29">
        <v>29790</v>
      </c>
      <c r="Q10" s="29"/>
      <c r="R10" s="29"/>
      <c r="S10" s="29"/>
      <c r="U10">
        <v>14</v>
      </c>
    </row>
    <row r="11" spans="1:24" x14ac:dyDescent="0.25">
      <c r="A11" s="11"/>
      <c r="B11" s="9" t="s">
        <v>19</v>
      </c>
      <c r="C11" s="90">
        <f>D11*2.06</f>
        <v>22.66</v>
      </c>
      <c r="D11" s="80">
        <v>11</v>
      </c>
      <c r="E11" s="29"/>
      <c r="F11" s="29">
        <f>D11*enhedspriser!$D$14</f>
        <v>1102812.2786091457</v>
      </c>
      <c r="G11" s="29">
        <f>C11*'socio - øk '!$F$17</f>
        <v>47362.417029343145</v>
      </c>
      <c r="H11" s="29">
        <f>D11*enhedspriser!$D$15</f>
        <v>112547.44485395237</v>
      </c>
      <c r="I11" s="29"/>
      <c r="J11" s="29"/>
      <c r="K11" s="29"/>
      <c r="L11" s="29"/>
      <c r="M11" s="29">
        <v>170213</v>
      </c>
      <c r="N11" s="29"/>
      <c r="O11" s="29"/>
      <c r="P11" s="29"/>
      <c r="Q11" s="29"/>
      <c r="R11" s="29"/>
      <c r="S11" s="29"/>
    </row>
    <row r="12" spans="1:24" x14ac:dyDescent="0.25">
      <c r="A12" s="5"/>
      <c r="B12" s="2" t="s">
        <v>25</v>
      </c>
      <c r="C12" s="92">
        <v>43</v>
      </c>
      <c r="D12" s="79">
        <v>43</v>
      </c>
      <c r="E12" s="29"/>
      <c r="F12" s="29">
        <f>D12*enhedspriser!$D$11</f>
        <v>2092715.2683227391</v>
      </c>
      <c r="G12" s="29">
        <f>C12*'socio - øk '!$F$18</f>
        <v>184721.04925296127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U12">
        <v>12</v>
      </c>
    </row>
    <row r="13" spans="1:24" x14ac:dyDescent="0.25">
      <c r="A13" s="5"/>
      <c r="B13" s="7" t="s">
        <v>27</v>
      </c>
      <c r="C13" s="93">
        <v>81</v>
      </c>
      <c r="D13" s="79">
        <v>81</v>
      </c>
      <c r="E13" s="29"/>
      <c r="F13" s="29">
        <f>D13*enhedspriser!$D$11</f>
        <v>3942091.5519567872</v>
      </c>
      <c r="G13" s="29">
        <f>C13*'socio - øk '!$F$16</f>
        <v>119506.4361988514</v>
      </c>
      <c r="H13" s="29"/>
      <c r="I13" s="29"/>
      <c r="J13" s="29"/>
      <c r="K13" s="29"/>
      <c r="L13" s="29"/>
      <c r="M13" s="29"/>
      <c r="N13" s="29">
        <v>137630</v>
      </c>
      <c r="O13" s="29"/>
      <c r="P13" s="29"/>
      <c r="Q13" s="29"/>
      <c r="R13" s="29"/>
      <c r="S13" s="29"/>
      <c r="U13">
        <f>16+10</f>
        <v>26</v>
      </c>
    </row>
    <row r="14" spans="1:24" x14ac:dyDescent="0.25">
      <c r="A14" s="11"/>
      <c r="B14" s="9" t="s">
        <v>26</v>
      </c>
      <c r="C14" s="90">
        <f>D14*2.06</f>
        <v>24.72</v>
      </c>
      <c r="D14" s="80">
        <v>12</v>
      </c>
      <c r="E14" s="29"/>
      <c r="F14" s="29">
        <f>D14*enhedspriser!$D$14</f>
        <v>1203067.9403008863</v>
      </c>
      <c r="G14" s="29">
        <f>C14*'socio - øk '!$F$16</f>
        <v>36471.593862167982</v>
      </c>
      <c r="H14" s="29">
        <f>D14*enhedspriser!$D$15</f>
        <v>122779.03074976623</v>
      </c>
      <c r="I14" s="29"/>
      <c r="J14" s="29"/>
      <c r="K14" s="29"/>
      <c r="L14" s="29"/>
      <c r="M14" s="29">
        <v>181765</v>
      </c>
      <c r="N14" s="29"/>
      <c r="O14" s="29"/>
      <c r="P14" s="29"/>
      <c r="Q14" s="29"/>
      <c r="R14" s="29"/>
      <c r="S14" s="29"/>
    </row>
    <row r="15" spans="1:24" s="17" customFormat="1" x14ac:dyDescent="0.25">
      <c r="A15" s="15"/>
      <c r="B15" s="16" t="s">
        <v>1</v>
      </c>
      <c r="C15" s="92">
        <f>D15</f>
        <v>46</v>
      </c>
      <c r="D15" s="81">
        <v>46</v>
      </c>
      <c r="E15" s="19"/>
      <c r="F15" s="29">
        <f>D15*enhedspriser!$D$11</f>
        <v>2238718.6591359535</v>
      </c>
      <c r="G15" s="29">
        <f>C15*'socio - øk '!$F$16</f>
        <v>67867.852656137824</v>
      </c>
      <c r="H15" s="2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U15" s="17">
        <v>12</v>
      </c>
    </row>
    <row r="16" spans="1:24" x14ac:dyDescent="0.25">
      <c r="A16" s="23" t="s">
        <v>40</v>
      </c>
      <c r="B16" s="23"/>
      <c r="C16" s="82">
        <f>SUM(C9:C15)</f>
        <v>327.38</v>
      </c>
      <c r="D16" s="82">
        <f>SUM(D9:D15)</f>
        <v>303</v>
      </c>
      <c r="E16" s="24">
        <f>grundtildeling!F3</f>
        <v>122500</v>
      </c>
      <c r="F16" s="24">
        <f>SUM(F9:F15)</f>
        <v>15932863.361476704</v>
      </c>
      <c r="G16" s="24">
        <f>SUM(G9:G15)</f>
        <v>647115.05711593688</v>
      </c>
      <c r="H16" s="24">
        <f>SUM(H9:H15)</f>
        <v>235326.4756037186</v>
      </c>
      <c r="I16" s="24">
        <f>(U16/37)*475000</f>
        <v>1078378.3783783782</v>
      </c>
      <c r="J16" s="24">
        <f>SUM(E16:I16)+326</f>
        <v>18016509.272574738</v>
      </c>
      <c r="K16" s="24">
        <f>((D9+D10+D12+D13+D15)*enhedspriser!$E$11)+((D11+D14)*enhedspriser!E16)</f>
        <v>995260.96937915741</v>
      </c>
      <c r="L16" s="24"/>
      <c r="M16" s="24">
        <f t="shared" ref="M16:R16" si="0">SUM(M9:M15)</f>
        <v>351978</v>
      </c>
      <c r="N16" s="24">
        <f t="shared" si="0"/>
        <v>137630</v>
      </c>
      <c r="O16" s="24">
        <f t="shared" si="0"/>
        <v>0</v>
      </c>
      <c r="P16" s="24">
        <f t="shared" si="0"/>
        <v>29790</v>
      </c>
      <c r="Q16" s="24">
        <f t="shared" si="0"/>
        <v>0</v>
      </c>
      <c r="R16" s="24">
        <f t="shared" si="0"/>
        <v>0</v>
      </c>
      <c r="S16" s="24">
        <f>SUM(J16:R16)</f>
        <v>19531168.241953894</v>
      </c>
      <c r="T16">
        <f>SUM(T8:T15)</f>
        <v>37</v>
      </c>
      <c r="U16" s="27">
        <f>SUM(U8:U15)</f>
        <v>84</v>
      </c>
      <c r="W16" s="27">
        <f>(J16-I16)/402000</f>
        <v>42.134653965662594</v>
      </c>
      <c r="X16" s="27">
        <f>(T16+U16)/W16</f>
        <v>2.8717454306995922</v>
      </c>
    </row>
    <row r="18" spans="1:24" x14ac:dyDescent="0.25">
      <c r="A18" s="123" t="s">
        <v>43</v>
      </c>
      <c r="B18" s="124"/>
      <c r="C18" s="124"/>
      <c r="D18" s="124"/>
      <c r="E18" s="53"/>
      <c r="F18" s="39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>
        <v>37</v>
      </c>
      <c r="U18">
        <v>6</v>
      </c>
    </row>
    <row r="19" spans="1:24" x14ac:dyDescent="0.25">
      <c r="A19" s="11"/>
      <c r="B19" s="2" t="s">
        <v>8</v>
      </c>
      <c r="C19" s="92">
        <f t="shared" ref="C19:C21" si="1">D19</f>
        <v>67</v>
      </c>
      <c r="D19" s="79">
        <v>67</v>
      </c>
      <c r="E19" s="29"/>
      <c r="F19" s="29">
        <f>D19*enhedspriser!$D$11</f>
        <v>3260742.3948284537</v>
      </c>
      <c r="G19" s="29">
        <f>C19*'socio - øk '!$F$18</f>
        <v>287821.16976624198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U19">
        <v>14</v>
      </c>
    </row>
    <row r="20" spans="1:24" x14ac:dyDescent="0.25">
      <c r="A20" s="11"/>
      <c r="B20" s="2" t="s">
        <v>9</v>
      </c>
      <c r="C20" s="92">
        <f t="shared" si="1"/>
        <v>74</v>
      </c>
      <c r="D20" s="79">
        <v>74</v>
      </c>
      <c r="E20" s="29"/>
      <c r="F20" s="29">
        <f>D20*enhedspriser!$D$11</f>
        <v>3601416.9733926207</v>
      </c>
      <c r="G20" s="19">
        <f>C20*'socio - øk '!$F$16</f>
        <v>109178.71949030868</v>
      </c>
      <c r="H20" s="1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U20">
        <v>14</v>
      </c>
    </row>
    <row r="21" spans="1:24" x14ac:dyDescent="0.25">
      <c r="A21" s="11"/>
      <c r="B21" s="2" t="s">
        <v>24</v>
      </c>
      <c r="C21" s="92">
        <f t="shared" si="1"/>
        <v>42</v>
      </c>
      <c r="D21" s="79">
        <v>42</v>
      </c>
      <c r="E21" s="29"/>
      <c r="F21" s="29">
        <f>D21*enhedspriser!$D$11</f>
        <v>2044047.471385001</v>
      </c>
      <c r="G21" s="29">
        <f>C21*'socio - øk '!$F$18</f>
        <v>180425.21089824123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U21">
        <v>14</v>
      </c>
    </row>
    <row r="22" spans="1:24" x14ac:dyDescent="0.25">
      <c r="A22" s="11"/>
      <c r="B22" s="9" t="s">
        <v>17</v>
      </c>
      <c r="C22" s="90">
        <f t="shared" ref="C22:C23" si="2">D22*2.06</f>
        <v>32.96</v>
      </c>
      <c r="D22" s="79">
        <v>16</v>
      </c>
      <c r="E22" s="29"/>
      <c r="F22" s="29">
        <f>D22*enhedspriser!$D$14</f>
        <v>1604090.5870678483</v>
      </c>
      <c r="G22" s="29">
        <f>C22*'socio - øk '!$F$18</f>
        <v>141590.83217157217</v>
      </c>
      <c r="H22" s="29">
        <f>D22*enhedspriser!$D$15</f>
        <v>163705.37433302164</v>
      </c>
      <c r="I22" s="29"/>
      <c r="J22" s="29"/>
      <c r="K22" s="29"/>
      <c r="L22" s="29"/>
      <c r="M22" s="135">
        <f>119090+280000</f>
        <v>399090</v>
      </c>
      <c r="N22" s="29"/>
      <c r="O22" s="29"/>
      <c r="P22" s="29"/>
      <c r="Q22" s="29"/>
      <c r="R22" s="29"/>
      <c r="S22" s="29"/>
      <c r="U22">
        <v>14</v>
      </c>
    </row>
    <row r="23" spans="1:24" x14ac:dyDescent="0.25">
      <c r="A23" s="11"/>
      <c r="B23" s="9" t="s">
        <v>153</v>
      </c>
      <c r="C23" s="90">
        <f t="shared" si="2"/>
        <v>70.040000000000006</v>
      </c>
      <c r="D23" s="79">
        <v>34</v>
      </c>
      <c r="E23" s="29"/>
      <c r="F23" s="29">
        <f>D23*enhedspriser!$D$14</f>
        <v>3408692.4975191779</v>
      </c>
      <c r="G23" s="29">
        <f>C23*'socio - øk '!$F$18</f>
        <v>300880.51836459088</v>
      </c>
      <c r="H23" s="29">
        <f>D23*enhedspriser!$D$15</f>
        <v>347873.92045767099</v>
      </c>
      <c r="I23" s="29"/>
      <c r="J23" s="29"/>
      <c r="K23" s="29"/>
      <c r="L23" s="29"/>
      <c r="M23" s="135"/>
      <c r="N23" s="29"/>
      <c r="O23" s="29"/>
      <c r="P23" s="29"/>
      <c r="Q23" s="29"/>
      <c r="R23" s="29"/>
      <c r="S23" s="29"/>
    </row>
    <row r="24" spans="1:24" s="17" customFormat="1" x14ac:dyDescent="0.25">
      <c r="A24" s="15"/>
      <c r="B24" s="16" t="s">
        <v>13</v>
      </c>
      <c r="C24" s="92">
        <f>D24</f>
        <v>37</v>
      </c>
      <c r="D24" s="81">
        <v>37</v>
      </c>
      <c r="E24" s="19"/>
      <c r="F24" s="29">
        <f>D24*enhedspriser!$D$11</f>
        <v>1800708.4866963103</v>
      </c>
      <c r="G24" s="19">
        <f>C24*'socio - øk '!$F$17</f>
        <v>77334.926305635323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U24" s="17">
        <v>12</v>
      </c>
    </row>
    <row r="25" spans="1:24" s="17" customFormat="1" x14ac:dyDescent="0.25">
      <c r="A25" s="15"/>
      <c r="B25" s="16" t="s">
        <v>41</v>
      </c>
      <c r="C25" s="90">
        <f>D25*2.06</f>
        <v>12.36</v>
      </c>
      <c r="D25" s="81">
        <v>6</v>
      </c>
      <c r="E25" s="19"/>
      <c r="F25" s="29">
        <f>D25*enhedspriser!$D$14</f>
        <v>601533.97015044314</v>
      </c>
      <c r="G25" s="29">
        <f>C25*'socio - øk '!$F$17</f>
        <v>25834.045652368986</v>
      </c>
      <c r="H25" s="29">
        <f>D25*enhedspriser!$D$15</f>
        <v>61389.515374883114</v>
      </c>
      <c r="I25" s="19"/>
      <c r="J25" s="19"/>
      <c r="K25" s="19"/>
      <c r="L25" s="19"/>
      <c r="M25" s="29">
        <v>112452</v>
      </c>
      <c r="N25" s="19"/>
      <c r="O25" s="19"/>
      <c r="P25" s="19"/>
      <c r="Q25" s="19"/>
      <c r="R25" s="19"/>
      <c r="S25" s="19"/>
    </row>
    <row r="26" spans="1:24" x14ac:dyDescent="0.25">
      <c r="A26" s="5"/>
      <c r="B26" s="18" t="s">
        <v>7</v>
      </c>
      <c r="C26" s="92">
        <f>D26</f>
        <v>52</v>
      </c>
      <c r="D26" s="79">
        <v>52</v>
      </c>
      <c r="E26" s="29"/>
      <c r="F26" s="29">
        <f>D26*enhedspriser!$D$11</f>
        <v>2530725.440762382</v>
      </c>
      <c r="G26" s="19">
        <f>C26*'socio - øk '!$F$17</f>
        <v>108686.92345656856</v>
      </c>
      <c r="H26" s="1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U26">
        <v>14</v>
      </c>
    </row>
    <row r="27" spans="1:24" x14ac:dyDescent="0.25">
      <c r="A27" s="11"/>
      <c r="B27" s="9" t="s">
        <v>22</v>
      </c>
      <c r="C27" s="90">
        <f>D27*2.06</f>
        <v>28.84</v>
      </c>
      <c r="D27" s="79">
        <v>14</v>
      </c>
      <c r="E27" s="29"/>
      <c r="F27" s="29">
        <f>D27*enhedspriser!$D$14</f>
        <v>1403579.2636843673</v>
      </c>
      <c r="G27" s="29">
        <f>C27*'socio - øk '!$F$17</f>
        <v>60279.439855527642</v>
      </c>
      <c r="H27" s="29">
        <f>D27*enhedspriser!$D$15</f>
        <v>143242.20254139393</v>
      </c>
      <c r="I27" s="29"/>
      <c r="J27" s="29"/>
      <c r="K27" s="29"/>
      <c r="L27" s="29"/>
      <c r="M27" s="29">
        <v>204869</v>
      </c>
      <c r="N27" s="29"/>
      <c r="O27" s="29"/>
      <c r="P27" s="29"/>
      <c r="Q27" s="29"/>
      <c r="R27" s="29"/>
      <c r="S27" s="29"/>
    </row>
    <row r="28" spans="1:24" x14ac:dyDescent="0.25">
      <c r="A28" s="5"/>
      <c r="B28" s="2" t="s">
        <v>2</v>
      </c>
      <c r="C28" s="92">
        <f>D28</f>
        <v>81</v>
      </c>
      <c r="D28" s="79">
        <v>81</v>
      </c>
      <c r="E28" s="29"/>
      <c r="F28" s="29">
        <f>D28*enhedspriser!$D$11</f>
        <v>3942091.5519567872</v>
      </c>
      <c r="G28" s="19">
        <f>C28*'socio - øk '!$F$16</f>
        <v>119506.4361988514</v>
      </c>
      <c r="H28" s="1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U28">
        <v>14</v>
      </c>
    </row>
    <row r="29" spans="1:24" x14ac:dyDescent="0.25">
      <c r="A29" s="6"/>
      <c r="B29" s="10" t="s">
        <v>12</v>
      </c>
      <c r="C29" s="114">
        <f>D29</f>
        <v>37</v>
      </c>
      <c r="D29" s="83">
        <v>37</v>
      </c>
      <c r="E29" s="34"/>
      <c r="F29" s="34">
        <f>D29*enhedspriser!$D$11</f>
        <v>1800708.4866963103</v>
      </c>
      <c r="G29" s="34">
        <f>C29*'socio - øk '!$F$18</f>
        <v>158946.01912464108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0"/>
      <c r="U29" s="30">
        <v>12</v>
      </c>
    </row>
    <row r="30" spans="1:24" x14ac:dyDescent="0.25">
      <c r="A30" s="23" t="s">
        <v>34</v>
      </c>
      <c r="B30" s="23"/>
      <c r="C30" s="84">
        <f t="shared" ref="C30:H30" si="3">SUM(C19:C29)</f>
        <v>534.20000000000005</v>
      </c>
      <c r="D30" s="84">
        <f t="shared" si="3"/>
        <v>460</v>
      </c>
      <c r="E30" s="24">
        <f>grundtildeling!F4</f>
        <v>80000</v>
      </c>
      <c r="F30" s="24">
        <f t="shared" si="3"/>
        <v>25998337.1241397</v>
      </c>
      <c r="G30" s="24">
        <f t="shared" si="3"/>
        <v>1570484.2412845478</v>
      </c>
      <c r="H30" s="24">
        <f t="shared" si="3"/>
        <v>716211.01270696963</v>
      </c>
      <c r="I30" s="24">
        <f>(U30/37)*475000</f>
        <v>1463513.5135135136</v>
      </c>
      <c r="J30" s="24">
        <f>SUM(E30:I30)+406</f>
        <v>29828951.891644731</v>
      </c>
      <c r="K30" s="24">
        <f>((+D19+D20+D21+D24+D26+D28+D29)*enhedspriser!$E$11)+((D22+D23+D25+D27)*enhedspriser!E16)</f>
        <v>1624010.0490022174</v>
      </c>
      <c r="L30" s="24"/>
      <c r="M30" s="24">
        <f>SUM(M19:M29)</f>
        <v>716411</v>
      </c>
      <c r="N30" s="24">
        <f t="shared" ref="N30:R30" si="4">SUM(N19:N29)</f>
        <v>0</v>
      </c>
      <c r="O30" s="24">
        <f t="shared" si="4"/>
        <v>0</v>
      </c>
      <c r="P30" s="24">
        <f t="shared" si="4"/>
        <v>0</v>
      </c>
      <c r="Q30" s="24">
        <f t="shared" si="4"/>
        <v>0</v>
      </c>
      <c r="R30" s="24">
        <f t="shared" si="4"/>
        <v>0</v>
      </c>
      <c r="S30" s="24">
        <f>SUM(J30:R30)</f>
        <v>32169372.94064695</v>
      </c>
      <c r="T30">
        <f>SUM(T18:T29)</f>
        <v>37</v>
      </c>
      <c r="U30" s="27">
        <f>SUM(U18:U29)</f>
        <v>114</v>
      </c>
      <c r="W30">
        <f>(J30-I30)/402000</f>
        <v>70.560791985401039</v>
      </c>
      <c r="X30">
        <f>(T30+U30)/W30</f>
        <v>2.139998655786655</v>
      </c>
    </row>
    <row r="31" spans="1:24" x14ac:dyDescent="0.25">
      <c r="A31" s="11"/>
      <c r="B31" s="9"/>
      <c r="C31" s="90"/>
      <c r="D31" s="79"/>
      <c r="E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3" spans="1:24" x14ac:dyDescent="0.25">
      <c r="A33" s="123" t="s">
        <v>42</v>
      </c>
      <c r="B33" s="124"/>
      <c r="C33" s="124"/>
      <c r="D33" s="124"/>
      <c r="E33" s="53"/>
      <c r="F33" s="39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>
        <v>37</v>
      </c>
      <c r="U33">
        <v>6</v>
      </c>
    </row>
    <row r="34" spans="1:24" x14ac:dyDescent="0.25">
      <c r="A34" s="5"/>
      <c r="B34" s="2" t="s">
        <v>44</v>
      </c>
      <c r="C34" s="90">
        <v>78</v>
      </c>
      <c r="D34" s="79">
        <v>78</v>
      </c>
      <c r="E34" s="29"/>
      <c r="F34" s="29">
        <f>D34*enhedspriser!$D$11</f>
        <v>3796088.161143573</v>
      </c>
      <c r="G34" s="29">
        <f>C34*'socio - øk '!$F$16</f>
        <v>115080.27189519024</v>
      </c>
      <c r="H34" s="29"/>
      <c r="I34" s="29"/>
      <c r="J34" s="29"/>
      <c r="K34" s="29"/>
      <c r="L34" s="29"/>
      <c r="M34" s="29"/>
      <c r="N34" s="29"/>
      <c r="O34" s="29"/>
      <c r="P34" s="29">
        <v>27143</v>
      </c>
      <c r="Q34" s="29"/>
      <c r="R34" s="29"/>
      <c r="S34" s="29"/>
      <c r="U34">
        <v>14</v>
      </c>
    </row>
    <row r="35" spans="1:24" x14ac:dyDescent="0.25">
      <c r="A35" s="5"/>
      <c r="B35" s="2" t="s">
        <v>5</v>
      </c>
      <c r="C35" s="90">
        <v>58</v>
      </c>
      <c r="D35" s="79">
        <v>58</v>
      </c>
      <c r="E35" s="29"/>
      <c r="F35" s="29">
        <f>D35*enhedspriser!$D$11</f>
        <v>2822732.2223888109</v>
      </c>
      <c r="G35" s="19">
        <f>C35*'socio - øk '!$F$17</f>
        <v>121227.72231694186</v>
      </c>
      <c r="H35" s="19"/>
      <c r="I35" s="29"/>
      <c r="J35" s="29"/>
      <c r="K35" s="29"/>
      <c r="L35" s="29"/>
      <c r="M35" s="29"/>
      <c r="N35" s="29"/>
      <c r="O35" s="29"/>
      <c r="P35" s="29">
        <v>27143</v>
      </c>
      <c r="Q35" s="29"/>
      <c r="R35" s="29"/>
      <c r="S35" s="29"/>
      <c r="U35">
        <v>12</v>
      </c>
    </row>
    <row r="36" spans="1:24" x14ac:dyDescent="0.25">
      <c r="A36" s="11"/>
      <c r="B36" s="9" t="s">
        <v>16</v>
      </c>
      <c r="C36" s="90">
        <v>77</v>
      </c>
      <c r="D36" s="80">
        <v>77</v>
      </c>
      <c r="E36" s="29"/>
      <c r="F36" s="29">
        <f>D36*enhedspriser!$D$11</f>
        <v>3747420.3642058349</v>
      </c>
      <c r="G36" s="29">
        <f>D36*'socio - øk '!$F$16</f>
        <v>113604.88379396984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U36">
        <v>16</v>
      </c>
    </row>
    <row r="37" spans="1:24" x14ac:dyDescent="0.25">
      <c r="A37" s="11"/>
      <c r="B37" s="9" t="s">
        <v>23</v>
      </c>
      <c r="C37" s="90">
        <f>D37*2.06</f>
        <v>16.48</v>
      </c>
      <c r="D37" s="80">
        <v>8</v>
      </c>
      <c r="E37" s="29"/>
      <c r="F37" s="29">
        <f>D37*enhedspriser!$D$14</f>
        <v>802045.29353392415</v>
      </c>
      <c r="G37" s="29">
        <f>C37*'socio - øk '!$F$16</f>
        <v>24314.39590811199</v>
      </c>
      <c r="H37" s="29">
        <f>D37*enhedspriser!$D$15</f>
        <v>81852.687166510819</v>
      </c>
      <c r="I37" s="29"/>
      <c r="J37" s="29"/>
      <c r="K37" s="29"/>
      <c r="L37" s="29"/>
      <c r="M37" s="29">
        <v>135556</v>
      </c>
      <c r="N37" s="29"/>
      <c r="O37" s="29"/>
      <c r="P37" s="29"/>
      <c r="Q37" s="29"/>
      <c r="R37" s="29"/>
      <c r="S37" s="29"/>
    </row>
    <row r="38" spans="1:24" x14ac:dyDescent="0.25">
      <c r="A38" s="5"/>
      <c r="B38" s="2" t="s">
        <v>6</v>
      </c>
      <c r="C38" s="92">
        <f>D38</f>
        <v>52</v>
      </c>
      <c r="D38" s="79">
        <v>52</v>
      </c>
      <c r="E38" s="29"/>
      <c r="F38" s="29">
        <f>D38*enhedspriser!$D$11</f>
        <v>2530725.440762382</v>
      </c>
      <c r="G38" s="29">
        <f>C38*'socio - øk '!$F$16</f>
        <v>76720.181263460152</v>
      </c>
      <c r="H38" s="29"/>
      <c r="I38" s="29"/>
      <c r="J38" s="29"/>
      <c r="K38" s="29"/>
      <c r="L38" s="29"/>
      <c r="M38" s="29"/>
      <c r="N38" s="29"/>
      <c r="O38" s="29"/>
      <c r="P38" s="29">
        <v>27143</v>
      </c>
      <c r="Q38" s="29"/>
      <c r="R38" s="29"/>
      <c r="S38" s="29"/>
      <c r="U38">
        <v>12</v>
      </c>
    </row>
    <row r="39" spans="1:24" x14ac:dyDescent="0.25">
      <c r="A39" s="5"/>
      <c r="B39" s="2" t="s">
        <v>15</v>
      </c>
      <c r="C39" s="92">
        <f>D39</f>
        <v>109</v>
      </c>
      <c r="D39" s="79">
        <v>109</v>
      </c>
      <c r="E39" s="29"/>
      <c r="F39" s="29">
        <f>D39*enhedspriser!$D$11</f>
        <v>5304789.8662134549</v>
      </c>
      <c r="G39" s="29">
        <f>C39*'socio - øk '!$F$18</f>
        <v>468246.38066448318</v>
      </c>
      <c r="H39" s="29"/>
      <c r="I39" s="29"/>
      <c r="J39" s="29"/>
      <c r="K39" s="29"/>
      <c r="L39" s="29"/>
      <c r="M39" s="29"/>
      <c r="N39" s="29"/>
      <c r="O39" s="29">
        <v>117624</v>
      </c>
      <c r="P39" s="29">
        <v>107770</v>
      </c>
      <c r="Q39" s="29"/>
      <c r="R39" s="29"/>
      <c r="S39" s="29"/>
      <c r="U39">
        <v>16</v>
      </c>
    </row>
    <row r="40" spans="1:24" x14ac:dyDescent="0.25">
      <c r="A40" s="11"/>
      <c r="B40" s="9" t="s">
        <v>18</v>
      </c>
      <c r="C40" s="90">
        <f>D40*2.06</f>
        <v>26.78</v>
      </c>
      <c r="D40" s="79">
        <v>13</v>
      </c>
      <c r="E40" s="29"/>
      <c r="F40" s="29">
        <f>D40*enhedspriser!$D$14</f>
        <v>1303323.6019926267</v>
      </c>
      <c r="G40" s="29">
        <f>C40*'socio - øk '!$F$18</f>
        <v>115042.55113940239</v>
      </c>
      <c r="H40" s="29">
        <f>D40*enhedspriser!$D$15</f>
        <v>133010.61664558007</v>
      </c>
      <c r="I40" s="29"/>
      <c r="J40" s="29"/>
      <c r="K40" s="29"/>
      <c r="L40" s="29"/>
      <c r="M40" s="29">
        <v>193317</v>
      </c>
      <c r="N40" s="29"/>
      <c r="O40" s="29"/>
      <c r="P40" s="29"/>
      <c r="Q40" s="29"/>
      <c r="R40" s="29"/>
      <c r="S40" s="29"/>
      <c r="T40" s="30"/>
      <c r="U40" s="30"/>
    </row>
    <row r="41" spans="1:24" x14ac:dyDescent="0.25">
      <c r="A41" s="23" t="s">
        <v>49</v>
      </c>
      <c r="B41" s="23"/>
      <c r="C41" s="84">
        <f t="shared" ref="C41:H41" si="5">SUM(C34:C40)</f>
        <v>417.26</v>
      </c>
      <c r="D41" s="84">
        <f t="shared" si="5"/>
        <v>395</v>
      </c>
      <c r="E41" s="24">
        <f>grundtildeling!F5</f>
        <v>122500</v>
      </c>
      <c r="F41" s="24">
        <f t="shared" si="5"/>
        <v>20307124.950240608</v>
      </c>
      <c r="G41" s="24">
        <f t="shared" si="5"/>
        <v>1034236.3869815597</v>
      </c>
      <c r="H41" s="24">
        <f t="shared" si="5"/>
        <v>214863.30381209089</v>
      </c>
      <c r="I41" s="24">
        <f>(U41/37)*475000</f>
        <v>975675.67567567562</v>
      </c>
      <c r="J41" s="24">
        <f>SUM(E41:I41)+368</f>
        <v>22654768.316709932</v>
      </c>
      <c r="K41" s="24">
        <f>((+D34+D35+D36+D38+D39)*enhedspriser!$E$11)+((D37+D40)*enhedspriser!E16)</f>
        <v>1268503.2441906873</v>
      </c>
      <c r="L41" s="24"/>
      <c r="M41" s="24">
        <f>SUM(M34:M40)</f>
        <v>328873</v>
      </c>
      <c r="N41" s="24">
        <f t="shared" ref="N41:R41" si="6">SUM(N34:N40)</f>
        <v>0</v>
      </c>
      <c r="O41" s="24">
        <f t="shared" si="6"/>
        <v>117624</v>
      </c>
      <c r="P41" s="24">
        <f t="shared" si="6"/>
        <v>189199</v>
      </c>
      <c r="Q41" s="24">
        <f t="shared" si="6"/>
        <v>0</v>
      </c>
      <c r="R41" s="24">
        <f t="shared" si="6"/>
        <v>0</v>
      </c>
      <c r="S41" s="24">
        <f>SUM(J41:R41)</f>
        <v>24558967.560900621</v>
      </c>
      <c r="T41" s="27">
        <f>SUM(T33:T40)</f>
        <v>37</v>
      </c>
      <c r="U41" s="27">
        <f>SUM(U33:U40)</f>
        <v>76</v>
      </c>
      <c r="W41" s="27">
        <f>(J41-I41)/402000</f>
        <v>53.928091146851386</v>
      </c>
      <c r="X41" s="27">
        <f>(T41+U41)/W41</f>
        <v>2.0953828996522446</v>
      </c>
    </row>
    <row r="42" spans="1:24" x14ac:dyDescent="0.25">
      <c r="A42" s="11"/>
      <c r="B42" s="9"/>
      <c r="C42" s="90"/>
      <c r="D42" s="80"/>
      <c r="E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24" x14ac:dyDescent="0.25">
      <c r="A43" s="123" t="s">
        <v>39</v>
      </c>
      <c r="B43" s="124"/>
      <c r="C43" s="124"/>
      <c r="D43" s="124"/>
      <c r="E43" s="53"/>
      <c r="F43" s="39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1:24" x14ac:dyDescent="0.25">
      <c r="A44" s="11"/>
      <c r="B44" s="9"/>
      <c r="C44" s="90"/>
      <c r="D44" s="80"/>
      <c r="E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</row>
    <row r="45" spans="1:24" x14ac:dyDescent="0.25">
      <c r="A45" s="5"/>
      <c r="B45" s="2" t="s">
        <v>31</v>
      </c>
      <c r="C45" s="92">
        <v>29.07</v>
      </c>
      <c r="D45" s="79">
        <v>27</v>
      </c>
      <c r="E45" s="29">
        <f>grundtildeling!F9</f>
        <v>20000</v>
      </c>
      <c r="F45" s="29">
        <f>((D45-1.67)*enhedspriser!$D$11)+(1.67*enhedspriser!D14)</f>
        <v>1400182.2514581131</v>
      </c>
      <c r="G45" s="29">
        <f>C45*'socio - øk '!$F$16</f>
        <v>42889.532102476667</v>
      </c>
      <c r="H45" s="29">
        <f>1.67*enhedspriser!$D$15</f>
        <v>17086.748446009133</v>
      </c>
      <c r="I45" s="44">
        <f>(U45/37)*475000</f>
        <v>154054.05405405405</v>
      </c>
      <c r="J45" s="43">
        <f>SUM(E45:I45)+26</f>
        <v>1634238.5860606527</v>
      </c>
      <c r="K45" s="43">
        <f>((D45-1.67)*enhedspriser!$E$11)+(1.67*enhedspriser!$E$14)</f>
        <v>87463.672616629701</v>
      </c>
      <c r="L45" s="43"/>
      <c r="M45" s="29">
        <v>66243</v>
      </c>
      <c r="N45" s="29"/>
      <c r="O45" s="29"/>
      <c r="P45" s="29"/>
      <c r="Q45" s="29"/>
      <c r="R45" s="29"/>
      <c r="S45" s="24">
        <f t="shared" ref="S45:S47" si="7">SUM(J45:R45)</f>
        <v>1787945.2586772824</v>
      </c>
      <c r="U45">
        <v>12</v>
      </c>
      <c r="W45" s="27">
        <f>(J45-I45)/402000</f>
        <v>3.6820510746432804</v>
      </c>
      <c r="X45" s="27">
        <f t="shared" ref="X45:X48" si="8">(T45+U45)/W45</f>
        <v>3.2590531083718246</v>
      </c>
    </row>
    <row r="46" spans="1:24" x14ac:dyDescent="0.25">
      <c r="A46" s="11"/>
      <c r="B46" s="9" t="s">
        <v>30</v>
      </c>
      <c r="C46" s="90">
        <v>36.590000000000003</v>
      </c>
      <c r="D46" s="80">
        <v>34</v>
      </c>
      <c r="E46" s="29">
        <f>grundtildeling!F10</f>
        <v>20000</v>
      </c>
      <c r="F46" s="29">
        <f>((D46-2)*enhedspriser!$D$11)+(2*enhedspriser!D14)</f>
        <v>1757880.8253911007</v>
      </c>
      <c r="G46" s="29">
        <f>C46*'socio - øk '!$F$18</f>
        <v>157184.72539920587</v>
      </c>
      <c r="H46" s="29">
        <f>2*enhedspriser!$D$15</f>
        <v>20463.171791627705</v>
      </c>
      <c r="I46" s="44">
        <f>(U46/37)*475000</f>
        <v>154054.05405405405</v>
      </c>
      <c r="J46" s="43">
        <f>SUM(E46:I46)+39</f>
        <v>2109621.7766359886</v>
      </c>
      <c r="K46" s="43">
        <f>((D46-2)*enhedspriser!$E$11)+(2*enhedspriser!$E$14)</f>
        <v>109807.64314855875</v>
      </c>
      <c r="L46" s="43"/>
      <c r="M46" s="29">
        <v>100899</v>
      </c>
      <c r="N46" s="29"/>
      <c r="O46" s="29"/>
      <c r="P46" s="29"/>
      <c r="Q46" s="29"/>
      <c r="R46" s="29"/>
      <c r="S46" s="24">
        <f t="shared" si="7"/>
        <v>2320328.4197845473</v>
      </c>
      <c r="U46">
        <v>12</v>
      </c>
      <c r="W46" s="27">
        <f>(J46-I46)/402000</f>
        <v>4.8645963248306829</v>
      </c>
      <c r="X46" s="27">
        <f t="shared" si="8"/>
        <v>2.4668028339263426</v>
      </c>
    </row>
    <row r="47" spans="1:24" x14ac:dyDescent="0.25">
      <c r="A47" s="5"/>
      <c r="B47" s="9" t="s">
        <v>0</v>
      </c>
      <c r="C47" s="90">
        <v>32</v>
      </c>
      <c r="D47" s="79">
        <v>27</v>
      </c>
      <c r="E47" s="29">
        <f>grundtildeling!F11</f>
        <v>20000</v>
      </c>
      <c r="F47" s="29">
        <f>((D47-4.79)*enhedspriser!$D$11)+(4.79*enhedspriser!D14)</f>
        <v>1561136.3894906007</v>
      </c>
      <c r="G47" s="29">
        <f>C47*'socio - øk '!$F$17</f>
        <v>66884.260588657577</v>
      </c>
      <c r="H47" s="29">
        <f>4.79*enhedspriser!$D$15</f>
        <v>49009.296440948354</v>
      </c>
      <c r="I47" s="44">
        <f>(U47/37)*475000</f>
        <v>154054.05405405405</v>
      </c>
      <c r="J47" s="43">
        <f>SUM(E47:I47)+29</f>
        <v>1851113.0005742605</v>
      </c>
      <c r="K47" s="43">
        <f>((D47-4.79)*enhedspriser!$E$11)+(4.79*enhedspriser!$E$14)</f>
        <v>97517.820939467856</v>
      </c>
      <c r="L47" s="43"/>
      <c r="M47" s="29">
        <v>100899</v>
      </c>
      <c r="N47" s="29"/>
      <c r="O47" s="29"/>
      <c r="P47" s="29"/>
      <c r="Q47" s="29"/>
      <c r="R47" s="29"/>
      <c r="S47" s="24">
        <f t="shared" si="7"/>
        <v>2049529.8215137282</v>
      </c>
      <c r="U47">
        <v>12</v>
      </c>
      <c r="W47" s="27">
        <f t="shared" ref="W47:W48" si="9">(J47-I47)/402000</f>
        <v>4.2215396679607124</v>
      </c>
      <c r="X47" s="27">
        <f t="shared" si="8"/>
        <v>2.8425647853255414</v>
      </c>
    </row>
    <row r="48" spans="1:24" x14ac:dyDescent="0.25">
      <c r="A48" s="11"/>
      <c r="B48" s="9" t="s">
        <v>32</v>
      </c>
      <c r="C48" s="90">
        <v>40</v>
      </c>
      <c r="D48" s="79">
        <v>40</v>
      </c>
      <c r="E48" s="29">
        <f>grundtildeling!F12</f>
        <v>20000</v>
      </c>
      <c r="F48" s="29">
        <f>((D48)*enhedspriser!$D$11)</f>
        <v>1946711.8775095246</v>
      </c>
      <c r="G48" s="19">
        <f>C48*'socio - øk '!$F$16</f>
        <v>59015.524048815503</v>
      </c>
      <c r="H48" s="19"/>
      <c r="I48" s="44">
        <f>(U48/37)*475000</f>
        <v>154054.05405405405</v>
      </c>
      <c r="J48" s="43">
        <f>SUM(E48:I48)+29</f>
        <v>2179810.455612394</v>
      </c>
      <c r="K48" s="43">
        <f>D48*enhedspriser!$E$11</f>
        <v>121603.14855875832</v>
      </c>
      <c r="L48" s="43"/>
      <c r="M48" s="29"/>
      <c r="N48" s="29"/>
      <c r="O48" s="29"/>
      <c r="P48" s="29"/>
      <c r="Q48" s="29"/>
      <c r="R48" s="29"/>
      <c r="S48" s="24">
        <f>SUM(J48:R48)</f>
        <v>2301413.6041711522</v>
      </c>
      <c r="U48">
        <v>12</v>
      </c>
      <c r="W48" s="27">
        <f t="shared" si="9"/>
        <v>5.0391950287520899</v>
      </c>
      <c r="X48" s="27">
        <f t="shared" si="8"/>
        <v>2.3813327191211506</v>
      </c>
    </row>
    <row r="49" spans="1:25" s="27" customFormat="1" x14ac:dyDescent="0.25">
      <c r="A49" s="33"/>
      <c r="B49" s="9"/>
      <c r="C49" s="90"/>
      <c r="D49" s="79"/>
      <c r="E49" s="29"/>
      <c r="F49" s="29"/>
      <c r="G49" s="19"/>
      <c r="H49" s="19"/>
      <c r="I49" s="44"/>
      <c r="J49" s="43"/>
      <c r="K49" s="29"/>
      <c r="L49" s="29"/>
      <c r="M49" s="29"/>
      <c r="N49" s="29"/>
      <c r="O49" s="29"/>
      <c r="P49" s="29"/>
      <c r="Q49" s="29"/>
      <c r="R49" s="29"/>
      <c r="S49" s="29"/>
    </row>
    <row r="50" spans="1:25" s="27" customFormat="1" x14ac:dyDescent="0.25">
      <c r="A50" s="123" t="s">
        <v>75</v>
      </c>
      <c r="B50" s="124"/>
      <c r="C50" s="124"/>
      <c r="D50" s="124"/>
      <c r="E50" s="53"/>
      <c r="F50" s="39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  <row r="51" spans="1:25" s="27" customFormat="1" x14ac:dyDescent="0.25">
      <c r="A51" s="33"/>
      <c r="B51" s="9"/>
      <c r="C51" s="90"/>
      <c r="D51" s="80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1:25" x14ac:dyDescent="0.25">
      <c r="A52" s="5"/>
      <c r="B52" s="2" t="s">
        <v>4</v>
      </c>
      <c r="C52" s="92">
        <v>59</v>
      </c>
      <c r="D52" s="79">
        <v>59</v>
      </c>
      <c r="E52" s="29">
        <f>grundtildeling!F13</f>
        <v>25000</v>
      </c>
      <c r="F52" s="29">
        <f>D52*enhedspriser!$D$11</f>
        <v>2871400.019326549</v>
      </c>
      <c r="G52" s="19">
        <f>C52*'socio - øk '!$F$17</f>
        <v>123317.85546033741</v>
      </c>
      <c r="H52" s="19"/>
      <c r="I52" s="44">
        <f>(U52/37)*475000</f>
        <v>154054.05405405405</v>
      </c>
      <c r="J52" s="43">
        <f>SUM(E52:I52)+52</f>
        <v>3173823.9288409404</v>
      </c>
      <c r="K52" s="43">
        <f>D52*enhedspriser!$E$11</f>
        <v>179364.64412416852</v>
      </c>
      <c r="L52" s="43"/>
      <c r="M52" s="29"/>
      <c r="N52" s="29"/>
      <c r="O52" s="29"/>
      <c r="P52" s="29"/>
      <c r="Q52" s="29"/>
      <c r="R52" s="29"/>
      <c r="S52" s="24">
        <f>SUM(J52:R52)</f>
        <v>3353188.5729651088</v>
      </c>
      <c r="U52">
        <v>12</v>
      </c>
      <c r="W52" s="27">
        <f>(J52-I52)/402000</f>
        <v>7.5118653601663841</v>
      </c>
      <c r="X52" s="27">
        <f>(T52+U52)/W52</f>
        <v>1.5974727214405513</v>
      </c>
    </row>
    <row r="53" spans="1:25" x14ac:dyDescent="0.25">
      <c r="A53" s="11"/>
      <c r="B53" s="9"/>
      <c r="C53" s="90"/>
      <c r="D53" s="80"/>
      <c r="E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1:25" x14ac:dyDescent="0.25">
      <c r="A54" s="123" t="s">
        <v>33</v>
      </c>
      <c r="B54" s="124"/>
      <c r="C54" s="124"/>
      <c r="D54" s="124"/>
      <c r="E54" s="53"/>
      <c r="F54" s="39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</row>
    <row r="55" spans="1:25" s="17" customFormat="1" x14ac:dyDescent="0.25">
      <c r="A55" s="15"/>
      <c r="B55" s="16" t="s">
        <v>10</v>
      </c>
      <c r="C55" s="94">
        <v>56</v>
      </c>
      <c r="D55" s="81">
        <v>56</v>
      </c>
      <c r="E55" s="19"/>
      <c r="F55" s="29">
        <f>D55*enhedspriser!$D$11</f>
        <v>2725396.6285133343</v>
      </c>
      <c r="G55" s="19">
        <f>C55*'socio - øk '!$F$16</f>
        <v>82621.733668341709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7">
        <v>27.75</v>
      </c>
    </row>
    <row r="56" spans="1:25" s="17" customFormat="1" x14ac:dyDescent="0.25">
      <c r="A56" s="15"/>
      <c r="B56" s="16" t="s">
        <v>28</v>
      </c>
      <c r="C56" s="90">
        <f>D56*2.06</f>
        <v>41.2</v>
      </c>
      <c r="D56" s="81">
        <v>20</v>
      </c>
      <c r="E56" s="19"/>
      <c r="F56" s="29">
        <f>D56*enhedspriser!$D$14</f>
        <v>2005113.2338348103</v>
      </c>
      <c r="G56" s="29">
        <f>C56*'socio - øk '!$F$16</f>
        <v>60785.989770279972</v>
      </c>
      <c r="H56" s="29">
        <f>D56*enhedspriser!$D$15</f>
        <v>204631.71791627706</v>
      </c>
      <c r="I56" s="19"/>
      <c r="J56" s="19"/>
      <c r="K56" s="19"/>
      <c r="L56" s="19"/>
      <c r="M56" s="29">
        <v>274182</v>
      </c>
      <c r="N56" s="19"/>
      <c r="O56" s="19"/>
      <c r="P56" s="19"/>
      <c r="Q56" s="19"/>
      <c r="R56" s="19"/>
      <c r="S56" s="19"/>
    </row>
    <row r="57" spans="1:25" x14ac:dyDescent="0.25">
      <c r="A57" s="23" t="s">
        <v>35</v>
      </c>
      <c r="B57" s="23"/>
      <c r="C57" s="84">
        <f t="shared" ref="C57:G57" si="10">SUM(C55:C56)</f>
        <v>97.2</v>
      </c>
      <c r="D57" s="84">
        <f t="shared" si="10"/>
        <v>76</v>
      </c>
      <c r="E57" s="24">
        <f>grundtildeling!F6</f>
        <v>20000</v>
      </c>
      <c r="F57" s="24">
        <f t="shared" si="10"/>
        <v>4730509.8623481449</v>
      </c>
      <c r="G57" s="24">
        <f t="shared" si="10"/>
        <v>143407.72343862167</v>
      </c>
      <c r="H57" s="24">
        <f>SUM(H55:H56)</f>
        <v>204631.71791627706</v>
      </c>
      <c r="I57" s="23"/>
      <c r="J57" s="24">
        <f>SUM(E57:I57)+76</f>
        <v>5098625.3037030436</v>
      </c>
      <c r="K57" s="24">
        <f>(D55*enhedspriser!$E$11)+(D56*enhedspriser!E16)</f>
        <v>295495.65099778271</v>
      </c>
      <c r="L57" s="24"/>
      <c r="M57" s="24">
        <f>SUM(M56)</f>
        <v>274182</v>
      </c>
      <c r="N57" s="24">
        <f t="shared" ref="N57:R57" si="11">SUM(N56)</f>
        <v>0</v>
      </c>
      <c r="O57" s="24">
        <f t="shared" si="11"/>
        <v>0</v>
      </c>
      <c r="P57" s="24">
        <f t="shared" si="11"/>
        <v>0</v>
      </c>
      <c r="Q57" s="24">
        <f t="shared" si="11"/>
        <v>0</v>
      </c>
      <c r="R57" s="24">
        <f t="shared" si="11"/>
        <v>0</v>
      </c>
      <c r="S57" s="24">
        <f>SUM(J57:R57)</f>
        <v>5668302.9547008267</v>
      </c>
      <c r="W57" s="27">
        <f>(J57-I57)/402000</f>
        <v>12.683147521649362</v>
      </c>
      <c r="X57" s="27">
        <f>(T55+U57)/W57</f>
        <v>2.1879426973968754</v>
      </c>
    </row>
    <row r="58" spans="1:25" s="17" customFormat="1" x14ac:dyDescent="0.25">
      <c r="A58" s="15"/>
      <c r="B58" s="16"/>
      <c r="C58" s="94"/>
      <c r="D58" s="81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25" s="17" customFormat="1" x14ac:dyDescent="0.25">
      <c r="A59" s="15"/>
      <c r="B59" s="16" t="s">
        <v>11</v>
      </c>
      <c r="C59" s="94">
        <v>63</v>
      </c>
      <c r="D59" s="81">
        <v>63</v>
      </c>
      <c r="E59" s="19"/>
      <c r="F59" s="29">
        <f>D59*enhedspriser!$D$11</f>
        <v>3066071.2070775013</v>
      </c>
      <c r="G59" s="19">
        <f>C59*'socio - øk '!$F$16</f>
        <v>92949.450376884415</v>
      </c>
      <c r="H59" s="19"/>
      <c r="I59" s="19"/>
      <c r="J59" s="19"/>
      <c r="K59" s="19"/>
      <c r="L59" s="19"/>
      <c r="M59" s="19"/>
      <c r="N59" s="19">
        <v>327050</v>
      </c>
      <c r="O59" s="19">
        <v>308551</v>
      </c>
      <c r="P59" s="19"/>
      <c r="Q59" s="19"/>
      <c r="R59" s="19"/>
      <c r="S59" s="19"/>
      <c r="T59" s="17">
        <v>37</v>
      </c>
    </row>
    <row r="60" spans="1:25" x14ac:dyDescent="0.25">
      <c r="A60" s="5"/>
      <c r="B60" s="2" t="s">
        <v>21</v>
      </c>
      <c r="C60" s="90">
        <f>D60*2.06</f>
        <v>65.92</v>
      </c>
      <c r="D60" s="79">
        <v>32</v>
      </c>
      <c r="E60" s="29"/>
      <c r="F60" s="29">
        <f>D60*enhedspriser!$D$14</f>
        <v>3208181.1741356966</v>
      </c>
      <c r="G60" s="29">
        <f>C60*'socio - øk '!$F$16</f>
        <v>97257.583632447961</v>
      </c>
      <c r="H60" s="29">
        <f>D60*enhedspriser!$D$15</f>
        <v>327410.74866604328</v>
      </c>
      <c r="I60" s="29"/>
      <c r="J60" s="29"/>
      <c r="K60" s="29"/>
      <c r="L60" s="29"/>
      <c r="M60" s="29">
        <v>412809</v>
      </c>
      <c r="N60" s="29"/>
      <c r="O60" s="29"/>
      <c r="P60" s="29"/>
      <c r="Q60" s="29"/>
      <c r="R60" s="29"/>
      <c r="S60" s="29"/>
    </row>
    <row r="61" spans="1:25" x14ac:dyDescent="0.25">
      <c r="A61" s="23" t="s">
        <v>36</v>
      </c>
      <c r="B61" s="23"/>
      <c r="C61" s="84">
        <f t="shared" ref="C61" si="12">SUM(C59:C60)</f>
        <v>128.92000000000002</v>
      </c>
      <c r="D61" s="84">
        <f t="shared" ref="D61:H61" si="13">SUM(D59:D60)</f>
        <v>95</v>
      </c>
      <c r="E61" s="24">
        <f>grundtildeling!F7</f>
        <v>20000</v>
      </c>
      <c r="F61" s="24">
        <f t="shared" si="13"/>
        <v>6274252.3812131975</v>
      </c>
      <c r="G61" s="24">
        <f t="shared" si="13"/>
        <v>190207.03400933236</v>
      </c>
      <c r="H61" s="24">
        <f t="shared" si="13"/>
        <v>327410.74866604328</v>
      </c>
      <c r="I61" s="23"/>
      <c r="J61" s="24">
        <f>SUM(E61:I61)+94</f>
        <v>6811964.1638885736</v>
      </c>
      <c r="K61" s="24">
        <f>(D59*enhedspriser!$E$11)+(D60*enhedspriser!$E$16)</f>
        <v>391926.94780487806</v>
      </c>
      <c r="L61" s="24"/>
      <c r="M61" s="24">
        <f>SUM(M60)</f>
        <v>412809</v>
      </c>
      <c r="N61" s="24">
        <f>SUM(N59:N60)</f>
        <v>327050</v>
      </c>
      <c r="O61" s="24">
        <f>SUM(O59:O60)</f>
        <v>308551</v>
      </c>
      <c r="P61" s="24">
        <f t="shared" ref="P61:R61" si="14">SUM(P60)</f>
        <v>0</v>
      </c>
      <c r="Q61" s="24">
        <f t="shared" si="14"/>
        <v>0</v>
      </c>
      <c r="R61" s="24">
        <f t="shared" si="14"/>
        <v>0</v>
      </c>
      <c r="S61" s="24">
        <f>SUM(J61:R61)</f>
        <v>8252301.1116934521</v>
      </c>
      <c r="W61" s="27">
        <f>(J61-I61)/402000</f>
        <v>16.945184487285008</v>
      </c>
      <c r="X61" s="27">
        <f>(T59+U61)/W61</f>
        <v>2.1835111932692928</v>
      </c>
    </row>
    <row r="62" spans="1:25" s="17" customFormat="1" x14ac:dyDescent="0.25">
      <c r="A62" s="15"/>
      <c r="B62" s="16"/>
      <c r="C62" s="94"/>
      <c r="D62" s="81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25" x14ac:dyDescent="0.25">
      <c r="A63" s="11"/>
      <c r="B63" s="9" t="s">
        <v>29</v>
      </c>
      <c r="C63" s="90">
        <v>67</v>
      </c>
      <c r="D63" s="79">
        <v>67</v>
      </c>
      <c r="E63" s="29"/>
      <c r="F63" s="29">
        <f>D63*enhedspriser!$D$11</f>
        <v>3260742.3948284537</v>
      </c>
      <c r="G63" s="29">
        <f>C63*'socio - øk '!$F$18</f>
        <v>287821.16976624198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>
        <v>27.75</v>
      </c>
    </row>
    <row r="64" spans="1:25" x14ac:dyDescent="0.25">
      <c r="A64" s="11"/>
      <c r="B64" s="9" t="s">
        <v>20</v>
      </c>
      <c r="C64" s="90">
        <f>D64*2.06</f>
        <v>14.42</v>
      </c>
      <c r="D64" s="79">
        <v>7</v>
      </c>
      <c r="E64" s="29"/>
      <c r="F64" s="29">
        <f>D64*enhedspriser!$D$14</f>
        <v>701789.63184218365</v>
      </c>
      <c r="G64" s="29">
        <f>C64*'socio - øk '!$F$18</f>
        <v>61945.989075062818</v>
      </c>
      <c r="H64" s="29">
        <f>D64*enhedspriser!$D$15</f>
        <v>71621.101270696963</v>
      </c>
      <c r="I64" s="29"/>
      <c r="J64" s="29"/>
      <c r="K64" s="29"/>
      <c r="L64" s="29"/>
      <c r="M64" s="29">
        <v>124004</v>
      </c>
      <c r="N64" s="29"/>
      <c r="O64" s="29"/>
      <c r="P64" s="29"/>
      <c r="Q64" s="29"/>
      <c r="R64" s="29"/>
      <c r="S64" s="29"/>
      <c r="Y64" s="115" t="e">
        <f>SUM(#REF!)</f>
        <v>#REF!</v>
      </c>
    </row>
    <row r="65" spans="1:24" x14ac:dyDescent="0.25">
      <c r="A65" s="23" t="s">
        <v>37</v>
      </c>
      <c r="B65" s="23"/>
      <c r="C65" s="84">
        <f t="shared" ref="C65" si="15">SUM(C63:C64)</f>
        <v>81.42</v>
      </c>
      <c r="D65" s="82">
        <f>SUM(D63:D64)</f>
        <v>74</v>
      </c>
      <c r="E65" s="24">
        <f>grundtildeling!F8</f>
        <v>30000</v>
      </c>
      <c r="F65" s="24">
        <f>SUM(F63:F64)</f>
        <v>3962532.0266706375</v>
      </c>
      <c r="G65" s="24">
        <f>SUM(G63:G64)</f>
        <v>349767.15884130477</v>
      </c>
      <c r="H65" s="24">
        <f>SUM(H63:H64)</f>
        <v>71621.101270696963</v>
      </c>
      <c r="I65" s="23"/>
      <c r="J65" s="24">
        <f>SUM(E65:I65)+62</f>
        <v>4413982.2867826391</v>
      </c>
      <c r="K65" s="24">
        <f>(D63*enhedspriser!$E$11)+(E64*enhedspriser!$E$16)</f>
        <v>203685.27383592018</v>
      </c>
      <c r="L65" s="24"/>
      <c r="M65" s="24">
        <f>SUM(M64)</f>
        <v>124004</v>
      </c>
      <c r="N65" s="23"/>
      <c r="O65" s="23"/>
      <c r="P65" s="23"/>
      <c r="Q65" s="23"/>
      <c r="R65" s="23"/>
      <c r="S65" s="24">
        <f>SUM(J65:R65)</f>
        <v>4741671.5606185589</v>
      </c>
      <c r="W65" s="27">
        <f>(J65-I65)/402000</f>
        <v>10.980055439757809</v>
      </c>
      <c r="X65" s="27">
        <f>(T63+U65)/W65</f>
        <v>2.5273096435851961</v>
      </c>
    </row>
    <row r="66" spans="1:24" x14ac:dyDescent="0.25">
      <c r="A66" s="11"/>
      <c r="B66" s="9"/>
      <c r="C66" s="90"/>
      <c r="D66" s="79"/>
      <c r="E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spans="1:24" x14ac:dyDescent="0.25">
      <c r="A67" s="20"/>
      <c r="B67" s="21"/>
      <c r="C67" s="85">
        <f t="shared" ref="C67:K67" si="16">+C16+C30+C61+C41+C65+C57+C45+C46+C47+C48+C52</f>
        <v>1783.04</v>
      </c>
      <c r="D67" s="85">
        <f t="shared" si="16"/>
        <v>1590</v>
      </c>
      <c r="E67" s="22">
        <f>+E16+E30+E61+E41+E65+E57+E45+E46+E47+E48+E52</f>
        <v>500000</v>
      </c>
      <c r="F67" s="22">
        <f>+F16+F30+F61+F41+F65+F57+F45+F46+F47+F48+F52</f>
        <v>86742931.069264859</v>
      </c>
      <c r="G67" s="22">
        <f t="shared" si="16"/>
        <v>4384509.4992707968</v>
      </c>
      <c r="H67" s="22">
        <f t="shared" si="16"/>
        <v>1856623.5766543816</v>
      </c>
      <c r="I67" s="22">
        <f t="shared" si="16"/>
        <v>4287837.8378378376</v>
      </c>
      <c r="J67" s="88">
        <f>+J16+J30+J61+J41+J65+J57+J45+J46+J47+J48+J52</f>
        <v>97773408.98302789</v>
      </c>
      <c r="K67" s="22">
        <f t="shared" si="16"/>
        <v>5374639.0645982279</v>
      </c>
      <c r="L67" s="22">
        <v>-13274</v>
      </c>
      <c r="M67" s="22">
        <f>+M16+M30+M61+M41+M65+M57+M45+M46+M47+M48+M52</f>
        <v>2476298</v>
      </c>
      <c r="N67" s="22">
        <f>+N16+N30+N61+N41+N65+N57+N45+N46+N47+N48+N52</f>
        <v>464680</v>
      </c>
      <c r="O67" s="89">
        <f>+O16+O30+O61+O41+O65+O57+O45+O46+O47+O48+O52</f>
        <v>426175</v>
      </c>
      <c r="P67" s="22">
        <f t="shared" ref="P67" si="17">+P16+P30+P61+P41+P65+P57+P45+P46+P47+P48+P52</f>
        <v>218989</v>
      </c>
      <c r="Q67" s="22">
        <v>4145483</v>
      </c>
      <c r="R67" s="22">
        <v>62216</v>
      </c>
      <c r="S67" s="120">
        <f>SUM(J67:R67)</f>
        <v>110928615.04762612</v>
      </c>
      <c r="T67" s="25">
        <f>SUM(T41:T66)+T30+T16</f>
        <v>203.5</v>
      </c>
      <c r="U67" s="25">
        <f>SUM(U41:U66)+U30+U16</f>
        <v>334</v>
      </c>
      <c r="W67" s="27">
        <f>(J67-I67)/402000</f>
        <v>232.55117200296036</v>
      </c>
      <c r="X67" s="27">
        <f>(T67+U67)/W67</f>
        <v>2.3113192480197764</v>
      </c>
    </row>
    <row r="68" spans="1:24" x14ac:dyDescent="0.25">
      <c r="A68" s="5"/>
      <c r="B68" s="2" t="s">
        <v>147</v>
      </c>
      <c r="C68" s="92"/>
      <c r="D68" s="86"/>
      <c r="E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>
        <f>T67/37</f>
        <v>5.5</v>
      </c>
      <c r="U68" s="26">
        <f>U67/37</f>
        <v>9.0270270270270263</v>
      </c>
    </row>
    <row r="69" spans="1:24" x14ac:dyDescent="0.25">
      <c r="B69" t="s">
        <v>78</v>
      </c>
      <c r="O69" s="29"/>
    </row>
    <row r="70" spans="1:24" s="27" customFormat="1" x14ac:dyDescent="0.25">
      <c r="B70" s="45" t="s">
        <v>138</v>
      </c>
      <c r="C70" s="77"/>
      <c r="D70" s="77"/>
      <c r="F70" s="29"/>
      <c r="G70" s="28"/>
      <c r="H70" s="28"/>
      <c r="I70" s="28"/>
      <c r="J70" s="28"/>
      <c r="K70" s="28"/>
      <c r="L70" s="28"/>
      <c r="M70" s="28"/>
      <c r="N70" s="28"/>
      <c r="O70" s="29"/>
      <c r="P70" s="28"/>
      <c r="Q70" s="28"/>
      <c r="R70" s="28"/>
      <c r="S70" s="28"/>
    </row>
    <row r="71" spans="1:24" x14ac:dyDescent="0.25">
      <c r="B71" s="45" t="s">
        <v>79</v>
      </c>
      <c r="N71" s="29"/>
    </row>
    <row r="72" spans="1:24" x14ac:dyDescent="0.25">
      <c r="B72" s="45" t="s">
        <v>80</v>
      </c>
    </row>
    <row r="73" spans="1:24" x14ac:dyDescent="0.25">
      <c r="B73" s="45" t="s">
        <v>81</v>
      </c>
    </row>
    <row r="74" spans="1:24" x14ac:dyDescent="0.25">
      <c r="B74" s="45" t="s">
        <v>82</v>
      </c>
    </row>
    <row r="75" spans="1:24" x14ac:dyDescent="0.25">
      <c r="B75" s="45" t="s">
        <v>83</v>
      </c>
    </row>
  </sheetData>
  <mergeCells count="25">
    <mergeCell ref="B2:Q2"/>
    <mergeCell ref="F4:F5"/>
    <mergeCell ref="G4:G5"/>
    <mergeCell ref="H4:H5"/>
    <mergeCell ref="J4:J5"/>
    <mergeCell ref="K4:K5"/>
    <mergeCell ref="M4:M5"/>
    <mergeCell ref="N4:N5"/>
    <mergeCell ref="O4:O5"/>
    <mergeCell ref="Q4:Q5"/>
    <mergeCell ref="T4:U5"/>
    <mergeCell ref="A54:D54"/>
    <mergeCell ref="A33:D33"/>
    <mergeCell ref="A8:D8"/>
    <mergeCell ref="A4:B5"/>
    <mergeCell ref="D4:D5"/>
    <mergeCell ref="A18:D18"/>
    <mergeCell ref="A43:D43"/>
    <mergeCell ref="I4:I5"/>
    <mergeCell ref="A50:D50"/>
    <mergeCell ref="E4:E5"/>
    <mergeCell ref="M22:M23"/>
    <mergeCell ref="P4:P5"/>
    <mergeCell ref="R4:R5"/>
    <mergeCell ref="C4:C5"/>
  </mergeCells>
  <pageMargins left="0.23622047244094491" right="0.19685039370078741" top="0.23622047244094491" bottom="0.74803149606299213" header="0.31496062992125984" footer="0.31496062992125984"/>
  <pageSetup paperSize="9" scale="45" orientation="landscape" r:id="rId1"/>
  <headerFooter>
    <oddFooter>&amp;L&amp;F&amp;R3. januar 2018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D7" sqref="D7"/>
    </sheetView>
  </sheetViews>
  <sheetFormatPr defaultRowHeight="15" x14ac:dyDescent="0.25"/>
  <cols>
    <col min="1" max="1" width="4.28515625" style="27" customWidth="1"/>
    <col min="2" max="2" width="25.7109375" customWidth="1"/>
    <col min="3" max="3" width="11.28515625" style="27" customWidth="1"/>
    <col min="4" max="4" width="13.42578125" customWidth="1"/>
    <col min="5" max="5" width="17.42578125" customWidth="1"/>
  </cols>
  <sheetData>
    <row r="1" spans="1:19" x14ac:dyDescent="0.25">
      <c r="A1" s="8"/>
      <c r="B1" s="74" t="s">
        <v>58</v>
      </c>
      <c r="C1" s="7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9"/>
    </row>
    <row r="2" spans="1:19" s="27" customFormat="1" x14ac:dyDescent="0.25">
      <c r="A2" s="31"/>
      <c r="B2" s="12"/>
      <c r="C2" s="1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51"/>
    </row>
    <row r="3" spans="1:19" x14ac:dyDescent="0.25">
      <c r="A3" s="31"/>
      <c r="B3" s="76" t="s">
        <v>134</v>
      </c>
      <c r="C3" s="28"/>
      <c r="D3" s="28" t="s">
        <v>51</v>
      </c>
      <c r="E3" s="28" t="s">
        <v>174</v>
      </c>
      <c r="F3" s="28"/>
      <c r="G3" s="28"/>
      <c r="H3" s="28"/>
      <c r="I3" s="28"/>
      <c r="J3" s="28"/>
      <c r="K3" s="28"/>
      <c r="L3" s="28"/>
      <c r="M3" s="28"/>
      <c r="N3" s="28"/>
      <c r="O3" s="51"/>
    </row>
    <row r="4" spans="1:19" x14ac:dyDescent="0.25">
      <c r="A4" s="31"/>
      <c r="B4" s="28" t="s">
        <v>50</v>
      </c>
      <c r="C4" s="28"/>
      <c r="D4" s="29">
        <v>47724</v>
      </c>
      <c r="E4" s="29">
        <v>2952</v>
      </c>
      <c r="F4" s="28"/>
      <c r="G4" s="28" t="s">
        <v>176</v>
      </c>
      <c r="H4" s="28"/>
      <c r="I4" s="28"/>
      <c r="J4" s="28"/>
      <c r="K4" s="28"/>
      <c r="L4" s="28"/>
      <c r="M4" s="28"/>
      <c r="N4" s="28"/>
      <c r="O4" s="51"/>
    </row>
    <row r="5" spans="1:19" s="27" customFormat="1" x14ac:dyDescent="0.25">
      <c r="A5" s="31"/>
      <c r="B5" s="28" t="s">
        <v>120</v>
      </c>
      <c r="C5" s="28"/>
      <c r="D5" s="29">
        <f>D41*-1</f>
        <v>-277.16186252771621</v>
      </c>
      <c r="E5" s="29"/>
      <c r="F5" s="28"/>
      <c r="G5" s="28"/>
      <c r="H5" s="28"/>
      <c r="I5" s="28"/>
      <c r="J5" s="28"/>
      <c r="K5" s="28"/>
      <c r="L5" s="28"/>
      <c r="M5" s="28"/>
      <c r="N5" s="28"/>
      <c r="O5" s="51"/>
    </row>
    <row r="6" spans="1:19" x14ac:dyDescent="0.25">
      <c r="A6" s="31"/>
      <c r="B6" s="28" t="s">
        <v>52</v>
      </c>
      <c r="C6" s="28"/>
      <c r="D6" s="29">
        <f>E33</f>
        <v>945.02556264918348</v>
      </c>
      <c r="E6" s="29"/>
      <c r="F6" s="28"/>
      <c r="G6" s="28" t="s">
        <v>178</v>
      </c>
      <c r="H6" s="28"/>
      <c r="I6" s="28"/>
      <c r="J6" s="28"/>
      <c r="K6" s="28"/>
      <c r="L6" s="28"/>
      <c r="M6" s="28"/>
      <c r="N6" s="28"/>
      <c r="O6" s="51"/>
    </row>
    <row r="7" spans="1:19" x14ac:dyDescent="0.25">
      <c r="A7" s="31"/>
      <c r="B7" s="28" t="s">
        <v>53</v>
      </c>
      <c r="C7" s="28"/>
      <c r="D7" s="29">
        <f>D37</f>
        <v>1333.1164752333095</v>
      </c>
      <c r="E7" s="29"/>
      <c r="F7" s="28"/>
      <c r="G7" s="28" t="s">
        <v>178</v>
      </c>
      <c r="H7" s="28"/>
      <c r="I7" s="28"/>
      <c r="J7" s="28"/>
      <c r="K7" s="28"/>
      <c r="L7" s="28"/>
      <c r="M7" s="28"/>
      <c r="N7" s="28"/>
      <c r="O7" s="51"/>
    </row>
    <row r="8" spans="1:19" s="27" customFormat="1" x14ac:dyDescent="0.25">
      <c r="A8" s="31"/>
      <c r="B8" s="9" t="s">
        <v>141</v>
      </c>
      <c r="C8" s="28"/>
      <c r="D8" s="29">
        <f>-'socio - øk '!B9/'Tildeling i alt'!C67</f>
        <v>-1057.1832376166547</v>
      </c>
      <c r="E8" s="29"/>
      <c r="F8" s="28"/>
      <c r="G8" s="28"/>
      <c r="H8" s="28"/>
      <c r="I8" s="28"/>
      <c r="J8" s="28"/>
      <c r="K8" s="28"/>
      <c r="L8" s="28"/>
      <c r="M8" s="28"/>
      <c r="N8" s="28"/>
      <c r="O8" s="51"/>
    </row>
    <row r="9" spans="1:19" s="27" customFormat="1" x14ac:dyDescent="0.25">
      <c r="A9" s="31"/>
      <c r="B9" s="9" t="s">
        <v>182</v>
      </c>
      <c r="C9" s="28"/>
      <c r="D9" s="29"/>
      <c r="E9" s="29"/>
      <c r="F9" s="28"/>
      <c r="G9" s="28"/>
      <c r="H9" s="28"/>
      <c r="I9" s="28"/>
      <c r="J9" s="28"/>
      <c r="K9" s="28"/>
      <c r="L9" s="28"/>
      <c r="M9" s="28"/>
      <c r="N9" s="28"/>
      <c r="O9" s="51"/>
    </row>
    <row r="10" spans="1:19" s="27" customFormat="1" x14ac:dyDescent="0.25">
      <c r="A10" s="31"/>
      <c r="B10" s="9" t="s">
        <v>135</v>
      </c>
      <c r="C10" s="29">
        <f>5470+9860+5470+7340+14300+11244+20560+16390+12290+15670+18460+21840</f>
        <v>158894</v>
      </c>
      <c r="D10" s="29"/>
      <c r="E10" s="29">
        <f>C10/1804</f>
        <v>88.078713968957871</v>
      </c>
      <c r="F10" s="28"/>
      <c r="G10" s="28"/>
      <c r="H10" s="28"/>
      <c r="I10" s="28"/>
      <c r="J10" s="28"/>
      <c r="K10" s="28"/>
      <c r="L10" s="28"/>
      <c r="M10" s="28"/>
      <c r="N10" s="28"/>
      <c r="O10" s="51"/>
    </row>
    <row r="11" spans="1:19" x14ac:dyDescent="0.25">
      <c r="A11" s="31"/>
      <c r="B11" s="22" t="s">
        <v>57</v>
      </c>
      <c r="C11" s="22"/>
      <c r="D11" s="22">
        <f>SUM(D4:D10)</f>
        <v>48667.796937738116</v>
      </c>
      <c r="E11" s="22">
        <f>SUM(E4:E10)</f>
        <v>3040.0787139689578</v>
      </c>
      <c r="F11" s="28"/>
      <c r="G11" s="28" t="s">
        <v>146</v>
      </c>
      <c r="H11" s="28"/>
      <c r="I11" s="28"/>
      <c r="J11" s="28"/>
      <c r="K11" s="28"/>
      <c r="L11" s="28"/>
      <c r="M11" s="28"/>
      <c r="N11" s="28"/>
      <c r="O11" s="51"/>
    </row>
    <row r="12" spans="1:19" x14ac:dyDescent="0.25">
      <c r="A12" s="31"/>
      <c r="B12" s="28"/>
      <c r="C12" s="28"/>
      <c r="D12" s="29"/>
      <c r="E12" s="29"/>
      <c r="F12" s="28"/>
      <c r="G12" s="28"/>
      <c r="H12" s="28"/>
      <c r="I12" s="28"/>
      <c r="J12" s="28"/>
      <c r="K12" s="28"/>
      <c r="L12" s="28"/>
      <c r="M12" s="28"/>
      <c r="N12" s="28"/>
      <c r="O12" s="51"/>
    </row>
    <row r="13" spans="1:19" x14ac:dyDescent="0.25">
      <c r="A13" s="31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51"/>
    </row>
    <row r="14" spans="1:19" x14ac:dyDescent="0.25">
      <c r="A14" s="31"/>
      <c r="B14" s="76" t="s">
        <v>59</v>
      </c>
      <c r="C14" s="28">
        <v>2.06</v>
      </c>
      <c r="D14" s="29">
        <f>D11*C14</f>
        <v>100255.66169174052</v>
      </c>
      <c r="E14" s="29">
        <f>E11*C14</f>
        <v>6262.5621507760534</v>
      </c>
      <c r="F14" s="28"/>
      <c r="G14" s="28" t="s">
        <v>61</v>
      </c>
      <c r="H14" s="28"/>
      <c r="I14" s="28"/>
      <c r="J14" s="28"/>
      <c r="K14" s="28"/>
      <c r="L14" s="28"/>
      <c r="M14" s="28"/>
      <c r="N14" s="28"/>
      <c r="O14" s="51"/>
      <c r="P14" s="36"/>
      <c r="Q14" s="36"/>
      <c r="S14" s="36"/>
    </row>
    <row r="15" spans="1:19" x14ac:dyDescent="0.25">
      <c r="A15" s="31">
        <v>3</v>
      </c>
      <c r="B15" s="12" t="s">
        <v>60</v>
      </c>
      <c r="C15" s="28"/>
      <c r="D15" s="29">
        <f>1860000/((173+0.33+4.79+2+1.67))</f>
        <v>10231.585895813852</v>
      </c>
      <c r="E15" s="29"/>
      <c r="F15" s="28"/>
      <c r="G15" s="28" t="s">
        <v>62</v>
      </c>
      <c r="H15" s="28"/>
      <c r="I15" s="28"/>
      <c r="J15" s="28"/>
      <c r="K15" s="28"/>
      <c r="L15" s="28"/>
      <c r="M15" s="28"/>
      <c r="N15" s="28"/>
      <c r="O15" s="51"/>
      <c r="P15" s="36"/>
      <c r="Q15" s="36"/>
    </row>
    <row r="16" spans="1:19" ht="30" x14ac:dyDescent="0.25">
      <c r="A16" s="31"/>
      <c r="B16" s="87" t="s">
        <v>136</v>
      </c>
      <c r="C16" s="25">
        <f>D16/D11</f>
        <v>2.2702331837396166</v>
      </c>
      <c r="D16" s="22">
        <f>SUM(D14:D15)</f>
        <v>110487.24758755438</v>
      </c>
      <c r="E16" s="22">
        <f>SUM(E14:E15)</f>
        <v>6262.5621507760534</v>
      </c>
      <c r="F16" s="28"/>
      <c r="G16" s="28"/>
      <c r="H16" s="28"/>
      <c r="I16" s="28"/>
      <c r="J16" s="28"/>
      <c r="K16" s="28"/>
      <c r="L16" s="28"/>
      <c r="M16" s="28"/>
      <c r="N16" s="28"/>
      <c r="O16" s="51"/>
      <c r="P16" s="36"/>
      <c r="Q16" s="36"/>
    </row>
    <row r="17" spans="1:17" s="27" customFormat="1" x14ac:dyDescent="0.25">
      <c r="A17" s="31"/>
      <c r="B17" s="28"/>
      <c r="C17" s="75"/>
      <c r="D17" s="29"/>
      <c r="E17" s="29"/>
      <c r="F17" s="28"/>
      <c r="G17" s="28"/>
      <c r="H17" s="28"/>
      <c r="I17" s="28"/>
      <c r="J17" s="28"/>
      <c r="K17" s="28"/>
      <c r="L17" s="28"/>
      <c r="M17" s="28"/>
      <c r="N17" s="28"/>
      <c r="O17" s="51"/>
      <c r="P17" s="36"/>
      <c r="Q17" s="36"/>
    </row>
    <row r="18" spans="1:17" s="27" customFormat="1" x14ac:dyDescent="0.25">
      <c r="A18" s="31"/>
      <c r="B18" s="28" t="s">
        <v>175</v>
      </c>
      <c r="C18" s="75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51"/>
      <c r="P18" s="36"/>
      <c r="Q18" s="36"/>
    </row>
    <row r="19" spans="1:17" x14ac:dyDescent="0.25">
      <c r="A19" s="32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52"/>
    </row>
    <row r="21" spans="1:17" x14ac:dyDescent="0.25">
      <c r="A21" s="8">
        <v>5</v>
      </c>
      <c r="B21" s="74" t="s">
        <v>138</v>
      </c>
      <c r="C21" s="74"/>
      <c r="D21" s="3"/>
      <c r="E21" s="3"/>
      <c r="F21" s="3"/>
      <c r="G21" s="3" t="s">
        <v>139</v>
      </c>
      <c r="H21" s="3"/>
      <c r="I21" s="3"/>
      <c r="J21" s="3"/>
      <c r="K21" s="3"/>
      <c r="L21" s="3"/>
      <c r="M21" s="3"/>
      <c r="N21" s="3"/>
      <c r="O21" s="49"/>
    </row>
    <row r="22" spans="1:17" x14ac:dyDescent="0.25">
      <c r="A22" s="31"/>
      <c r="B22" s="28" t="s">
        <v>140</v>
      </c>
      <c r="C22" s="28"/>
      <c r="D22" s="29">
        <f>1214050</f>
        <v>1214050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51"/>
    </row>
    <row r="23" spans="1:17" x14ac:dyDescent="0.25">
      <c r="A23" s="31"/>
      <c r="B23" s="28" t="s">
        <v>71</v>
      </c>
      <c r="C23" s="28"/>
      <c r="D23" s="29">
        <f>D36</f>
        <v>1783.04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51"/>
    </row>
    <row r="24" spans="1:17" x14ac:dyDescent="0.25">
      <c r="A24" s="31"/>
      <c r="B24" s="28" t="s">
        <v>55</v>
      </c>
      <c r="C24" s="28"/>
      <c r="D24" s="29">
        <f>D22/D23</f>
        <v>680.88769741564965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51"/>
    </row>
    <row r="25" spans="1:17" x14ac:dyDescent="0.25">
      <c r="A25" s="3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51"/>
    </row>
    <row r="26" spans="1:17" x14ac:dyDescent="0.25">
      <c r="A26" s="32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52"/>
    </row>
    <row r="29" spans="1:17" x14ac:dyDescent="0.25">
      <c r="A29" s="8">
        <v>1</v>
      </c>
      <c r="B29" s="74" t="s">
        <v>67</v>
      </c>
      <c r="C29" s="74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9"/>
    </row>
    <row r="30" spans="1:17" x14ac:dyDescent="0.25">
      <c r="A30" s="31"/>
      <c r="B30" s="28" t="s">
        <v>54</v>
      </c>
      <c r="C30" s="28"/>
      <c r="D30" s="28">
        <v>299</v>
      </c>
      <c r="E30" s="28" t="s">
        <v>68</v>
      </c>
      <c r="F30" s="28"/>
      <c r="G30" s="28"/>
      <c r="H30" s="28"/>
      <c r="I30" s="28"/>
      <c r="J30" s="28"/>
      <c r="K30" s="28"/>
      <c r="L30" s="28"/>
      <c r="M30" s="28"/>
      <c r="N30" s="28"/>
      <c r="O30" s="51"/>
    </row>
    <row r="31" spans="1:17" x14ac:dyDescent="0.25">
      <c r="A31" s="31"/>
      <c r="B31" s="28" t="str">
        <f>B23</f>
        <v>Antal enheder 17/18</v>
      </c>
      <c r="C31" s="28"/>
      <c r="D31" s="29">
        <f>'Tildeling i alt'!C67</f>
        <v>1783.04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51"/>
    </row>
    <row r="32" spans="1:17" x14ac:dyDescent="0.25">
      <c r="A32" s="31"/>
      <c r="B32" s="28" t="s">
        <v>55</v>
      </c>
      <c r="C32" s="28"/>
      <c r="D32" s="75">
        <f>D30/D31</f>
        <v>0.16769113424264179</v>
      </c>
      <c r="E32" s="29">
        <f>D32*(212.23*1.0213)*52</f>
        <v>1890.051125298367</v>
      </c>
      <c r="F32" s="28" t="s">
        <v>148</v>
      </c>
      <c r="G32" s="28"/>
      <c r="H32" s="28"/>
      <c r="I32" s="28"/>
      <c r="J32" s="28"/>
      <c r="K32" s="28"/>
      <c r="L32" s="28"/>
      <c r="M32" s="28"/>
      <c r="N32" s="28"/>
      <c r="O32" s="51"/>
    </row>
    <row r="33" spans="1:15" x14ac:dyDescent="0.25">
      <c r="A33" s="32"/>
      <c r="B33" s="30" t="s">
        <v>70</v>
      </c>
      <c r="C33" s="30"/>
      <c r="D33" s="30"/>
      <c r="E33" s="34">
        <f>E32*50%</f>
        <v>945.02556264918348</v>
      </c>
      <c r="F33" s="30"/>
      <c r="G33" s="30"/>
      <c r="H33" s="30"/>
      <c r="I33" s="30"/>
      <c r="J33" s="30"/>
      <c r="K33" s="30"/>
      <c r="L33" s="30"/>
      <c r="M33" s="30"/>
      <c r="N33" s="30"/>
      <c r="O33" s="52"/>
    </row>
    <row r="35" spans="1:15" x14ac:dyDescent="0.25">
      <c r="A35" s="8">
        <v>2</v>
      </c>
      <c r="B35" s="74" t="s">
        <v>56</v>
      </c>
      <c r="C35" s="74"/>
      <c r="D35" s="4">
        <v>2377000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49"/>
    </row>
    <row r="36" spans="1:15" x14ac:dyDescent="0.25">
      <c r="A36" s="31"/>
      <c r="B36" s="28" t="str">
        <f>B23</f>
        <v>Antal enheder 17/18</v>
      </c>
      <c r="C36" s="28"/>
      <c r="D36" s="29">
        <f>D31</f>
        <v>1783.04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51"/>
    </row>
    <row r="37" spans="1:15" x14ac:dyDescent="0.25">
      <c r="A37" s="31"/>
      <c r="B37" s="28" t="s">
        <v>55</v>
      </c>
      <c r="C37" s="28"/>
      <c r="D37" s="29">
        <f>D35/D36</f>
        <v>1333.1164752333095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51"/>
    </row>
    <row r="38" spans="1:15" x14ac:dyDescent="0.25">
      <c r="A38" s="31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51"/>
    </row>
    <row r="39" spans="1:15" x14ac:dyDescent="0.25">
      <c r="A39" s="8"/>
      <c r="B39" s="3" t="s">
        <v>128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9"/>
    </row>
    <row r="40" spans="1:15" x14ac:dyDescent="0.25">
      <c r="A40" s="31"/>
      <c r="B40" s="28" t="s">
        <v>129</v>
      </c>
      <c r="C40" s="28"/>
      <c r="D40" s="29">
        <v>500000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51"/>
    </row>
    <row r="41" spans="1:15" x14ac:dyDescent="0.25">
      <c r="A41" s="31"/>
      <c r="B41" s="28" t="s">
        <v>130</v>
      </c>
      <c r="C41" s="28"/>
      <c r="D41" s="29">
        <f>D40/1804</f>
        <v>277.16186252771621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51"/>
    </row>
    <row r="42" spans="1:15" x14ac:dyDescent="0.25">
      <c r="A42" s="3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52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A8" workbookViewId="0">
      <selection activeCell="F16" sqref="F16:F18"/>
    </sheetView>
  </sheetViews>
  <sheetFormatPr defaultColWidth="9.140625" defaultRowHeight="15" x14ac:dyDescent="0.25"/>
  <cols>
    <col min="1" max="1" width="36.42578125" style="27" customWidth="1"/>
    <col min="2" max="2" width="9.140625" style="36"/>
    <col min="3" max="3" width="11.140625" style="27" customWidth="1"/>
    <col min="4" max="4" width="10.5703125" style="27" bestFit="1" customWidth="1"/>
    <col min="5" max="5" width="12.5703125" style="27" customWidth="1"/>
    <col min="6" max="6" width="13.5703125" style="27" customWidth="1"/>
    <col min="7" max="7" width="12.7109375" style="27" customWidth="1"/>
    <col min="8" max="8" width="6" style="27" customWidth="1"/>
    <col min="9" max="9" width="11.28515625" style="27" customWidth="1"/>
    <col min="10" max="16384" width="9.140625" style="27"/>
  </cols>
  <sheetData>
    <row r="1" spans="1:10" ht="15.75" x14ac:dyDescent="0.25">
      <c r="A1" s="59" t="s">
        <v>107</v>
      </c>
    </row>
    <row r="3" spans="1:10" x14ac:dyDescent="0.25">
      <c r="A3" s="27" t="s">
        <v>108</v>
      </c>
    </row>
    <row r="4" spans="1:10" x14ac:dyDescent="0.25">
      <c r="A4" s="27" t="s">
        <v>64</v>
      </c>
      <c r="B4" s="36">
        <v>1081460</v>
      </c>
    </row>
    <row r="5" spans="1:10" x14ac:dyDescent="0.25">
      <c r="A5" s="27" t="s">
        <v>65</v>
      </c>
      <c r="B5" s="34">
        <v>-267000</v>
      </c>
    </row>
    <row r="6" spans="1:10" x14ac:dyDescent="0.25">
      <c r="A6" s="27" t="s">
        <v>66</v>
      </c>
      <c r="B6" s="36">
        <f>SUM(B4:B5)</f>
        <v>814460</v>
      </c>
    </row>
    <row r="8" spans="1:10" x14ac:dyDescent="0.25">
      <c r="A8" s="27" t="s">
        <v>69</v>
      </c>
      <c r="B8" s="29">
        <f>3370000*50%</f>
        <v>1685000</v>
      </c>
    </row>
    <row r="9" spans="1:10" x14ac:dyDescent="0.25">
      <c r="A9" s="27" t="s">
        <v>149</v>
      </c>
      <c r="B9" s="34">
        <v>1885000</v>
      </c>
    </row>
    <row r="11" spans="1:10" ht="15.75" thickBot="1" x14ac:dyDescent="0.3">
      <c r="A11" s="58" t="s">
        <v>48</v>
      </c>
      <c r="B11" s="57">
        <f>SUM(B6:B9)</f>
        <v>4384460</v>
      </c>
      <c r="E11" s="56" t="s">
        <v>109</v>
      </c>
      <c r="F11" s="60">
        <f>B11/('Tildeling i alt'!F67+'Tildeling i alt'!E67)</f>
        <v>5.0255762229252036E-2</v>
      </c>
    </row>
    <row r="15" spans="1:10" ht="30" x14ac:dyDescent="0.25">
      <c r="A15" s="8"/>
      <c r="B15" s="4"/>
      <c r="C15" s="3"/>
      <c r="D15" s="63" t="s">
        <v>103</v>
      </c>
      <c r="E15" s="61" t="s">
        <v>101</v>
      </c>
      <c r="F15" s="111" t="s">
        <v>104</v>
      </c>
      <c r="G15" s="63" t="s">
        <v>105</v>
      </c>
      <c r="H15" s="3"/>
      <c r="I15" s="69" t="s">
        <v>86</v>
      </c>
      <c r="J15" s="49"/>
    </row>
    <row r="16" spans="1:10" x14ac:dyDescent="0.25">
      <c r="A16" s="62" t="s">
        <v>150</v>
      </c>
      <c r="B16" s="29"/>
      <c r="C16" s="29"/>
      <c r="D16" s="64">
        <v>888.39</v>
      </c>
      <c r="E16" s="28"/>
      <c r="F16" s="112">
        <f>$E$19*I16</f>
        <v>1475.3881012203876</v>
      </c>
      <c r="G16" s="64">
        <f>D16*F16</f>
        <v>1310720.0352431801</v>
      </c>
      <c r="H16" s="28"/>
      <c r="I16" s="71">
        <v>0.6</v>
      </c>
      <c r="J16" s="51"/>
    </row>
    <row r="17" spans="1:10" x14ac:dyDescent="0.25">
      <c r="A17" s="62" t="s">
        <v>151</v>
      </c>
      <c r="B17" s="29"/>
      <c r="C17" s="29"/>
      <c r="D17" s="65">
        <v>348.86</v>
      </c>
      <c r="E17" s="28"/>
      <c r="F17" s="112">
        <f>$E$19*I17</f>
        <v>2090.1331433955493</v>
      </c>
      <c r="G17" s="64">
        <f t="shared" ref="G17:G18" si="0">D17*F17</f>
        <v>729163.8484049713</v>
      </c>
      <c r="H17" s="28"/>
      <c r="I17" s="71">
        <v>0.85</v>
      </c>
      <c r="J17" s="51"/>
    </row>
    <row r="18" spans="1:10" x14ac:dyDescent="0.25">
      <c r="A18" s="62" t="s">
        <v>152</v>
      </c>
      <c r="B18" s="29"/>
      <c r="C18" s="29"/>
      <c r="D18" s="65">
        <v>545.79</v>
      </c>
      <c r="E18" s="28"/>
      <c r="F18" s="112">
        <f>$E$19*I18</f>
        <v>4295.8383547200292</v>
      </c>
      <c r="G18" s="64">
        <f t="shared" si="0"/>
        <v>2344625.6156226448</v>
      </c>
      <c r="H18" s="28"/>
      <c r="I18" s="71">
        <v>1.7470000000000001</v>
      </c>
      <c r="J18" s="51"/>
    </row>
    <row r="19" spans="1:10" ht="15.75" thickBot="1" x14ac:dyDescent="0.3">
      <c r="A19" s="31"/>
      <c r="B19" s="29"/>
      <c r="C19" s="29"/>
      <c r="D19" s="66">
        <f>SUM(D16:D18)</f>
        <v>1783.04</v>
      </c>
      <c r="E19" s="57">
        <f>B11/D19</f>
        <v>2458.9801687006461</v>
      </c>
      <c r="F19" s="113"/>
      <c r="G19" s="66">
        <f>SUM(G16:G18)</f>
        <v>4384509.4992707968</v>
      </c>
      <c r="H19" s="58"/>
      <c r="I19" s="68"/>
      <c r="J19" s="51"/>
    </row>
    <row r="20" spans="1:10" x14ac:dyDescent="0.25">
      <c r="A20" s="32"/>
      <c r="B20" s="34"/>
      <c r="C20" s="30"/>
      <c r="D20" s="67"/>
      <c r="E20" s="30"/>
      <c r="F20" s="67"/>
      <c r="G20" s="67"/>
      <c r="H20" s="30"/>
      <c r="I20" s="67"/>
      <c r="J20" s="52"/>
    </row>
    <row r="21" spans="1:10" x14ac:dyDescent="0.25">
      <c r="A21" s="28"/>
      <c r="B21" s="29"/>
      <c r="C21" s="28"/>
      <c r="D21" s="28"/>
      <c r="E21" s="28"/>
      <c r="F21" s="28"/>
      <c r="G21" s="28"/>
      <c r="H21" s="28"/>
      <c r="I21" s="28"/>
      <c r="J21" s="28"/>
    </row>
    <row r="22" spans="1:10" x14ac:dyDescent="0.25">
      <c r="D22" s="56" t="s">
        <v>102</v>
      </c>
      <c r="E22" s="96">
        <f>E19/209/52</f>
        <v>0.22625875678143598</v>
      </c>
      <c r="G22" s="36"/>
    </row>
    <row r="23" spans="1:10" x14ac:dyDescent="0.25">
      <c r="D23" s="56" t="s">
        <v>106</v>
      </c>
      <c r="G23" s="36">
        <f>B11-G19</f>
        <v>-49.499270796775818</v>
      </c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opLeftCell="A2" workbookViewId="0">
      <selection activeCell="B8" sqref="B8"/>
    </sheetView>
  </sheetViews>
  <sheetFormatPr defaultRowHeight="15" x14ac:dyDescent="0.25"/>
  <cols>
    <col min="1" max="1" width="34" customWidth="1"/>
    <col min="2" max="2" width="60.7109375" customWidth="1"/>
  </cols>
  <sheetData>
    <row r="1" spans="1:2" ht="18.75" x14ac:dyDescent="0.3">
      <c r="A1" s="46" t="s">
        <v>87</v>
      </c>
    </row>
    <row r="3" spans="1:2" ht="15.75" x14ac:dyDescent="0.25">
      <c r="A3" s="47" t="s">
        <v>88</v>
      </c>
    </row>
    <row r="5" spans="1:2" x14ac:dyDescent="0.25">
      <c r="A5" s="48" t="s">
        <v>94</v>
      </c>
      <c r="B5" s="49"/>
    </row>
    <row r="6" spans="1:2" s="27" customFormat="1" x14ac:dyDescent="0.25">
      <c r="A6" s="72"/>
      <c r="B6" s="51"/>
    </row>
    <row r="7" spans="1:2" s="27" customFormat="1" x14ac:dyDescent="0.25">
      <c r="A7" s="73" t="s">
        <v>132</v>
      </c>
      <c r="B7" s="51" t="s">
        <v>179</v>
      </c>
    </row>
    <row r="8" spans="1:2" s="27" customFormat="1" x14ac:dyDescent="0.25">
      <c r="A8" s="73" t="s">
        <v>119</v>
      </c>
      <c r="B8" s="51"/>
    </row>
    <row r="9" spans="1:2" x14ac:dyDescent="0.25">
      <c r="A9" s="31" t="s">
        <v>89</v>
      </c>
      <c r="B9" s="50" t="s">
        <v>133</v>
      </c>
    </row>
    <row r="10" spans="1:2" x14ac:dyDescent="0.25">
      <c r="A10" s="31"/>
      <c r="B10" s="51"/>
    </row>
    <row r="11" spans="1:2" x14ac:dyDescent="0.25">
      <c r="A11" s="31" t="s">
        <v>56</v>
      </c>
      <c r="B11" s="51" t="s">
        <v>90</v>
      </c>
    </row>
    <row r="12" spans="1:2" x14ac:dyDescent="0.25">
      <c r="A12" s="31"/>
      <c r="B12" s="51"/>
    </row>
    <row r="13" spans="1:2" x14ac:dyDescent="0.25">
      <c r="A13" s="31" t="s">
        <v>52</v>
      </c>
      <c r="B13" s="51" t="s">
        <v>91</v>
      </c>
    </row>
    <row r="14" spans="1:2" x14ac:dyDescent="0.25">
      <c r="A14" s="31"/>
      <c r="B14" s="51"/>
    </row>
    <row r="15" spans="1:2" x14ac:dyDescent="0.25">
      <c r="A15" s="31" t="s">
        <v>92</v>
      </c>
      <c r="B15" s="51" t="s">
        <v>93</v>
      </c>
    </row>
    <row r="16" spans="1:2" x14ac:dyDescent="0.25">
      <c r="A16" s="32"/>
      <c r="B16" s="52"/>
    </row>
    <row r="19" spans="1:2" x14ac:dyDescent="0.25">
      <c r="A19" s="48" t="s">
        <v>95</v>
      </c>
      <c r="B19" s="49"/>
    </row>
    <row r="20" spans="1:2" x14ac:dyDescent="0.25">
      <c r="A20" s="31" t="s">
        <v>138</v>
      </c>
      <c r="B20" s="51"/>
    </row>
    <row r="21" spans="1:2" x14ac:dyDescent="0.25">
      <c r="A21" s="31" t="s">
        <v>82</v>
      </c>
      <c r="B21" s="51"/>
    </row>
    <row r="22" spans="1:2" x14ac:dyDescent="0.25">
      <c r="A22" s="31" t="s">
        <v>81</v>
      </c>
      <c r="B22" s="51"/>
    </row>
    <row r="23" spans="1:2" s="27" customFormat="1" x14ac:dyDescent="0.25">
      <c r="A23" s="31" t="s">
        <v>100</v>
      </c>
      <c r="B23" s="51"/>
    </row>
    <row r="24" spans="1:2" x14ac:dyDescent="0.25">
      <c r="A24" s="31" t="s">
        <v>96</v>
      </c>
      <c r="B24" s="51"/>
    </row>
    <row r="25" spans="1:2" x14ac:dyDescent="0.25">
      <c r="A25" s="32" t="s">
        <v>99</v>
      </c>
      <c r="B25" s="52"/>
    </row>
    <row r="27" spans="1:2" x14ac:dyDescent="0.25">
      <c r="A27" s="48" t="s">
        <v>97</v>
      </c>
      <c r="B27" s="49"/>
    </row>
    <row r="28" spans="1:2" x14ac:dyDescent="0.25">
      <c r="A28" s="31"/>
      <c r="B28" s="51"/>
    </row>
    <row r="29" spans="1:2" x14ac:dyDescent="0.25">
      <c r="A29" s="31" t="s">
        <v>180</v>
      </c>
      <c r="B29" s="51"/>
    </row>
    <row r="30" spans="1:2" x14ac:dyDescent="0.25">
      <c r="A30" s="31"/>
      <c r="B30" s="51"/>
    </row>
    <row r="31" spans="1:2" x14ac:dyDescent="0.25">
      <c r="A31" s="32"/>
      <c r="B31" s="52"/>
    </row>
    <row r="33" spans="1:2" x14ac:dyDescent="0.25">
      <c r="A33" s="48" t="s">
        <v>98</v>
      </c>
      <c r="B33" s="49"/>
    </row>
    <row r="34" spans="1:2" x14ac:dyDescent="0.25">
      <c r="A34" s="31"/>
      <c r="B34" s="51"/>
    </row>
    <row r="35" spans="1:2" x14ac:dyDescent="0.25">
      <c r="A35" s="31" t="s">
        <v>181</v>
      </c>
      <c r="B35" s="51"/>
    </row>
    <row r="36" spans="1:2" x14ac:dyDescent="0.25">
      <c r="A36" s="31"/>
      <c r="B36" s="51"/>
    </row>
    <row r="37" spans="1:2" s="27" customFormat="1" x14ac:dyDescent="0.25">
      <c r="A37" s="31"/>
      <c r="B37" s="51"/>
    </row>
    <row r="38" spans="1:2" x14ac:dyDescent="0.25">
      <c r="A38" s="32"/>
      <c r="B38" s="52"/>
    </row>
  </sheetData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workbookViewId="0">
      <selection activeCell="F17" sqref="F17"/>
    </sheetView>
  </sheetViews>
  <sheetFormatPr defaultRowHeight="15" x14ac:dyDescent="0.25"/>
  <cols>
    <col min="1" max="1" width="19.7109375" customWidth="1"/>
    <col min="2" max="2" width="14.7109375" customWidth="1"/>
    <col min="3" max="3" width="17.28515625" customWidth="1"/>
    <col min="4" max="4" width="13.5703125" customWidth="1"/>
    <col min="5" max="5" width="13.140625" customWidth="1"/>
    <col min="6" max="6" width="18.28515625" customWidth="1"/>
    <col min="8" max="8" width="9.140625" style="70"/>
    <col min="9" max="9" width="19.85546875" customWidth="1"/>
    <col min="10" max="10" width="9.140625" style="36"/>
  </cols>
  <sheetData>
    <row r="1" spans="1:16" x14ac:dyDescent="0.25">
      <c r="A1" s="1" t="s">
        <v>113</v>
      </c>
    </row>
    <row r="2" spans="1:16" ht="30" x14ac:dyDescent="0.25">
      <c r="B2" t="s">
        <v>116</v>
      </c>
      <c r="C2" t="s">
        <v>118</v>
      </c>
      <c r="D2" s="55" t="s">
        <v>154</v>
      </c>
      <c r="E2" s="55" t="s">
        <v>155</v>
      </c>
      <c r="F2" t="s">
        <v>173</v>
      </c>
    </row>
    <row r="3" spans="1:16" x14ac:dyDescent="0.25">
      <c r="A3" t="s">
        <v>117</v>
      </c>
      <c r="B3">
        <v>5</v>
      </c>
      <c r="C3" s="36">
        <f>$C$14/1804*'Tildeling i alt'!D16</f>
        <v>83980.044345898015</v>
      </c>
      <c r="D3" s="36">
        <f>(B3*J12)</f>
        <v>122500</v>
      </c>
      <c r="E3" s="36"/>
      <c r="F3" s="36">
        <f>SUM(D3:E3)</f>
        <v>122500</v>
      </c>
    </row>
    <row r="4" spans="1:16" x14ac:dyDescent="0.25">
      <c r="A4" t="s">
        <v>112</v>
      </c>
      <c r="B4">
        <v>8</v>
      </c>
      <c r="C4" s="36">
        <f>$C$14/1804*'Tildeling i alt'!D30</f>
        <v>127494.45676274945</v>
      </c>
      <c r="D4" s="36">
        <v>80000</v>
      </c>
      <c r="E4" s="36"/>
      <c r="F4" s="36">
        <f t="shared" ref="F4:F14" si="0">SUM(D4:E4)</f>
        <v>80000</v>
      </c>
      <c r="G4" s="1" t="s">
        <v>158</v>
      </c>
    </row>
    <row r="5" spans="1:16" x14ac:dyDescent="0.25">
      <c r="A5" t="s">
        <v>111</v>
      </c>
      <c r="B5">
        <v>5</v>
      </c>
      <c r="C5" s="36">
        <f>$C$14/1804*'Tildeling i alt'!D41</f>
        <v>109478.93569844791</v>
      </c>
      <c r="D5" s="36">
        <f>(B5*J12)</f>
        <v>122500</v>
      </c>
      <c r="E5" s="36"/>
      <c r="F5" s="36">
        <f t="shared" si="0"/>
        <v>122500</v>
      </c>
    </row>
    <row r="6" spans="1:16" x14ac:dyDescent="0.25">
      <c r="A6" t="s">
        <v>114</v>
      </c>
      <c r="B6">
        <v>1</v>
      </c>
      <c r="C6" s="36">
        <f>$C$14/1804*'Tildeling i alt'!D57</f>
        <v>21064.301552106434</v>
      </c>
      <c r="D6" s="36">
        <v>20000</v>
      </c>
      <c r="E6" s="36"/>
      <c r="F6" s="36">
        <f t="shared" si="0"/>
        <v>20000</v>
      </c>
      <c r="G6" t="s">
        <v>121</v>
      </c>
      <c r="J6" s="36">
        <v>20000</v>
      </c>
    </row>
    <row r="7" spans="1:16" x14ac:dyDescent="0.25">
      <c r="A7" t="s">
        <v>11</v>
      </c>
      <c r="B7">
        <v>1</v>
      </c>
      <c r="C7" s="36">
        <f>$C$14/1804*'Tildeling i alt'!D61</f>
        <v>26330.376940133039</v>
      </c>
      <c r="D7" s="36">
        <v>20000</v>
      </c>
      <c r="E7" s="36"/>
      <c r="F7" s="36">
        <f t="shared" si="0"/>
        <v>20000</v>
      </c>
    </row>
    <row r="8" spans="1:16" x14ac:dyDescent="0.25">
      <c r="A8" t="s">
        <v>110</v>
      </c>
      <c r="B8">
        <v>1</v>
      </c>
      <c r="C8" s="36">
        <f>$C$14/1804*'Tildeling i alt'!D65</f>
        <v>20509.977827051</v>
      </c>
      <c r="D8" s="36">
        <v>30000</v>
      </c>
      <c r="E8" s="36"/>
      <c r="F8" s="36">
        <f t="shared" si="0"/>
        <v>30000</v>
      </c>
      <c r="G8" t="s">
        <v>122</v>
      </c>
      <c r="J8" s="36">
        <v>20000</v>
      </c>
    </row>
    <row r="9" spans="1:16" s="27" customFormat="1" x14ac:dyDescent="0.25">
      <c r="A9" s="28" t="s">
        <v>31</v>
      </c>
      <c r="B9">
        <v>1</v>
      </c>
      <c r="C9" s="36">
        <f>$C$14/1804*'Tildeling i alt'!D45</f>
        <v>7483.3702882483376</v>
      </c>
      <c r="D9" s="36">
        <v>20000</v>
      </c>
      <c r="E9" s="36"/>
      <c r="F9" s="36">
        <f t="shared" si="0"/>
        <v>20000</v>
      </c>
      <c r="G9" t="s">
        <v>131</v>
      </c>
      <c r="H9" s="70"/>
      <c r="I9"/>
      <c r="J9" s="36">
        <v>25000</v>
      </c>
      <c r="K9"/>
      <c r="L9" t="s">
        <v>127</v>
      </c>
      <c r="M9"/>
      <c r="N9"/>
      <c r="O9"/>
      <c r="P9"/>
    </row>
    <row r="10" spans="1:16" x14ac:dyDescent="0.25">
      <c r="A10" s="9" t="s">
        <v>30</v>
      </c>
      <c r="B10">
        <v>1</v>
      </c>
      <c r="C10" s="36">
        <f>$C$14/1804*'Tildeling i alt'!D46</f>
        <v>9423.5033259423508</v>
      </c>
      <c r="D10" s="36">
        <v>20000</v>
      </c>
      <c r="E10" s="36"/>
      <c r="F10" s="36">
        <f t="shared" si="0"/>
        <v>20000</v>
      </c>
      <c r="G10" t="s">
        <v>123</v>
      </c>
      <c r="J10" s="36">
        <v>20000</v>
      </c>
      <c r="L10" t="s">
        <v>126</v>
      </c>
    </row>
    <row r="11" spans="1:16" x14ac:dyDescent="0.25">
      <c r="A11" s="9" t="s">
        <v>0</v>
      </c>
      <c r="B11">
        <v>1</v>
      </c>
      <c r="C11" s="36">
        <f>$C$14/1804*'Tildeling i alt'!D47</f>
        <v>7483.3702882483376</v>
      </c>
      <c r="D11" s="36">
        <v>20000</v>
      </c>
      <c r="E11" s="36"/>
      <c r="F11" s="36">
        <f t="shared" si="0"/>
        <v>20000</v>
      </c>
      <c r="G11" t="s">
        <v>124</v>
      </c>
      <c r="J11" s="36">
        <v>30000</v>
      </c>
      <c r="L11" t="s">
        <v>125</v>
      </c>
    </row>
    <row r="12" spans="1:16" x14ac:dyDescent="0.25">
      <c r="A12" s="9" t="s">
        <v>32</v>
      </c>
      <c r="B12">
        <v>1</v>
      </c>
      <c r="C12" s="36">
        <f>$C$14/1804*'Tildeling i alt'!D48</f>
        <v>11086.474501108649</v>
      </c>
      <c r="D12" s="36">
        <v>20000</v>
      </c>
      <c r="E12" s="36"/>
      <c r="F12" s="36">
        <f t="shared" si="0"/>
        <v>20000</v>
      </c>
      <c r="G12" t="s">
        <v>156</v>
      </c>
      <c r="J12" s="36">
        <v>24500</v>
      </c>
    </row>
    <row r="13" spans="1:16" x14ac:dyDescent="0.25">
      <c r="A13" s="9" t="s">
        <v>115</v>
      </c>
      <c r="B13" s="27">
        <v>1</v>
      </c>
      <c r="C13" s="36">
        <f>$C$14/1804*'Tildeling i alt'!D52</f>
        <v>16352.549889135256</v>
      </c>
      <c r="D13" s="36">
        <v>25000</v>
      </c>
      <c r="E13" s="36"/>
      <c r="F13" s="36">
        <f t="shared" si="0"/>
        <v>25000</v>
      </c>
      <c r="G13" s="27" t="s">
        <v>157</v>
      </c>
      <c r="I13" s="27"/>
      <c r="J13" s="36">
        <v>10000</v>
      </c>
      <c r="K13" s="27"/>
      <c r="L13" s="27"/>
      <c r="M13" s="27"/>
      <c r="N13" s="27"/>
      <c r="O13" s="27"/>
      <c r="P13" s="27"/>
    </row>
    <row r="14" spans="1:16" s="27" customFormat="1" x14ac:dyDescent="0.25">
      <c r="A14" s="9"/>
      <c r="B14" s="21">
        <f>SUM(B3:B13)</f>
        <v>26</v>
      </c>
      <c r="C14" s="22">
        <v>500000</v>
      </c>
      <c r="D14" s="22">
        <f>SUM(D3:D13)</f>
        <v>500000</v>
      </c>
      <c r="E14" s="22">
        <f>SUM(E3:E13)</f>
        <v>0</v>
      </c>
      <c r="F14" s="22">
        <f t="shared" si="0"/>
        <v>500000</v>
      </c>
      <c r="H14" s="70"/>
      <c r="J14" s="36"/>
    </row>
    <row r="15" spans="1:16" s="27" customFormat="1" x14ac:dyDescent="0.25">
      <c r="A15" s="9"/>
      <c r="C15" s="36"/>
      <c r="D15" s="36"/>
      <c r="E15" s="36"/>
      <c r="G15" s="1"/>
      <c r="H15" s="70"/>
      <c r="J15" s="36"/>
    </row>
    <row r="16" spans="1:16" s="27" customFormat="1" x14ac:dyDescent="0.25">
      <c r="A16" s="9"/>
      <c r="H16" s="70"/>
      <c r="J16" s="36"/>
    </row>
    <row r="17" spans="1:10" s="27" customFormat="1" x14ac:dyDescent="0.25">
      <c r="A17" s="9"/>
      <c r="H17" s="70"/>
      <c r="J17" s="36"/>
    </row>
    <row r="18" spans="1:10" s="27" customFormat="1" x14ac:dyDescent="0.25">
      <c r="A18" s="9"/>
      <c r="H18" s="70"/>
      <c r="J18" s="36"/>
    </row>
    <row r="19" spans="1:10" s="27" customFormat="1" x14ac:dyDescent="0.25">
      <c r="A19" s="9"/>
      <c r="H19" s="70"/>
      <c r="J19" s="36"/>
    </row>
    <row r="20" spans="1:10" s="27" customFormat="1" x14ac:dyDescent="0.25">
      <c r="A20" s="9"/>
      <c r="H20" s="70"/>
      <c r="J20" s="36"/>
    </row>
    <row r="21" spans="1:10" s="27" customFormat="1" x14ac:dyDescent="0.25">
      <c r="A21" s="9"/>
      <c r="H21" s="70"/>
      <c r="J21" s="36"/>
    </row>
    <row r="22" spans="1:10" s="27" customFormat="1" x14ac:dyDescent="0.25">
      <c r="A22" s="9"/>
      <c r="H22" s="70"/>
      <c r="J22" s="36"/>
    </row>
    <row r="23" spans="1:10" s="27" customFormat="1" x14ac:dyDescent="0.25">
      <c r="A23" s="9"/>
      <c r="H23" s="70"/>
      <c r="J23" s="36"/>
    </row>
    <row r="24" spans="1:10" s="27" customFormat="1" x14ac:dyDescent="0.25">
      <c r="A24" s="9"/>
      <c r="J24" s="36"/>
    </row>
    <row r="25" spans="1:10" s="27" customFormat="1" x14ac:dyDescent="0.25">
      <c r="A25" s="9"/>
      <c r="H25" s="70"/>
      <c r="J25" s="36"/>
    </row>
    <row r="26" spans="1:10" x14ac:dyDescent="0.25">
      <c r="B26" s="36"/>
      <c r="C26" s="36"/>
      <c r="D26" s="36"/>
      <c r="E26" s="36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20" sqref="C20"/>
    </sheetView>
  </sheetViews>
  <sheetFormatPr defaultColWidth="9.140625" defaultRowHeight="15" x14ac:dyDescent="0.25"/>
  <cols>
    <col min="1" max="1" width="32.7109375" style="27" customWidth="1"/>
    <col min="2" max="2" width="18.42578125" style="27" customWidth="1"/>
    <col min="3" max="3" width="26.42578125" style="27" customWidth="1"/>
    <col min="4" max="7" width="9.140625" style="27"/>
    <col min="8" max="8" width="9.140625" style="70"/>
    <col min="9" max="9" width="9.140625" style="27"/>
    <col min="10" max="10" width="9.140625" style="36"/>
    <col min="11" max="16384" width="9.140625" style="27"/>
  </cols>
  <sheetData>
    <row r="1" spans="1:3" ht="18.75" x14ac:dyDescent="0.3">
      <c r="A1" s="139" t="s">
        <v>159</v>
      </c>
      <c r="B1" s="139"/>
      <c r="C1" s="139"/>
    </row>
    <row r="3" spans="1:3" ht="15.75" x14ac:dyDescent="0.25">
      <c r="A3" s="97"/>
      <c r="B3" s="98"/>
      <c r="C3" s="99"/>
    </row>
    <row r="4" spans="1:3" ht="15.75" x14ac:dyDescent="0.25">
      <c r="A4" s="100"/>
      <c r="B4" s="95" t="s">
        <v>160</v>
      </c>
      <c r="C4" s="101"/>
    </row>
    <row r="5" spans="1:3" ht="15.75" x14ac:dyDescent="0.25">
      <c r="A5" s="100"/>
      <c r="B5" s="95"/>
      <c r="C5" s="101"/>
    </row>
    <row r="6" spans="1:3" ht="15.75" x14ac:dyDescent="0.25">
      <c r="A6" s="100" t="s">
        <v>161</v>
      </c>
      <c r="B6" s="95"/>
      <c r="C6" s="101"/>
    </row>
    <row r="7" spans="1:3" ht="15.75" x14ac:dyDescent="0.25">
      <c r="A7" s="100" t="s">
        <v>162</v>
      </c>
      <c r="B7" s="102">
        <v>37</v>
      </c>
      <c r="C7" s="101"/>
    </row>
    <row r="8" spans="1:3" ht="15.75" x14ac:dyDescent="0.25">
      <c r="A8" s="100" t="s">
        <v>163</v>
      </c>
      <c r="B8" s="102">
        <v>6</v>
      </c>
      <c r="C8" s="101"/>
    </row>
    <row r="9" spans="1:3" ht="31.5" x14ac:dyDescent="0.25">
      <c r="A9" s="103" t="s">
        <v>164</v>
      </c>
      <c r="B9" s="102">
        <f>37*75%</f>
        <v>27.75</v>
      </c>
      <c r="C9" s="101"/>
    </row>
    <row r="10" spans="1:3" ht="15.75" x14ac:dyDescent="0.25">
      <c r="A10" s="100"/>
      <c r="B10" s="102"/>
      <c r="C10" s="101"/>
    </row>
    <row r="11" spans="1:3" ht="15.75" x14ac:dyDescent="0.25">
      <c r="A11" s="100" t="s">
        <v>165</v>
      </c>
      <c r="B11" s="102"/>
      <c r="C11" s="101"/>
    </row>
    <row r="12" spans="1:3" ht="15.75" x14ac:dyDescent="0.25">
      <c r="A12" s="100" t="s">
        <v>166</v>
      </c>
      <c r="B12" s="102">
        <v>10</v>
      </c>
      <c r="C12" s="104"/>
    </row>
    <row r="13" spans="1:3" ht="15.75" x14ac:dyDescent="0.25">
      <c r="A13" s="100" t="s">
        <v>167</v>
      </c>
      <c r="B13" s="102">
        <v>12</v>
      </c>
      <c r="C13" s="104"/>
    </row>
    <row r="14" spans="1:3" ht="15.75" x14ac:dyDescent="0.25">
      <c r="A14" s="100" t="s">
        <v>168</v>
      </c>
      <c r="B14" s="102">
        <v>14</v>
      </c>
      <c r="C14" s="104"/>
    </row>
    <row r="15" spans="1:3" ht="15.75" x14ac:dyDescent="0.25">
      <c r="A15" s="100" t="s">
        <v>169</v>
      </c>
      <c r="B15" s="102">
        <v>16</v>
      </c>
      <c r="C15" s="104"/>
    </row>
    <row r="16" spans="1:3" ht="15.75" x14ac:dyDescent="0.25">
      <c r="A16" s="100"/>
      <c r="B16" s="102"/>
      <c r="C16" s="104"/>
    </row>
    <row r="17" spans="1:3" ht="15.75" x14ac:dyDescent="0.25">
      <c r="A17" s="100" t="s">
        <v>170</v>
      </c>
      <c r="B17" s="102"/>
      <c r="C17" s="104"/>
    </row>
    <row r="18" spans="1:3" ht="15.75" x14ac:dyDescent="0.25">
      <c r="A18" s="100" t="s">
        <v>162</v>
      </c>
      <c r="B18" s="102">
        <v>37</v>
      </c>
      <c r="C18" s="101"/>
    </row>
    <row r="19" spans="1:3" ht="31.5" x14ac:dyDescent="0.25">
      <c r="A19" s="103" t="s">
        <v>164</v>
      </c>
      <c r="B19" s="102">
        <f>37*75%</f>
        <v>27.75</v>
      </c>
      <c r="C19" s="101"/>
    </row>
    <row r="20" spans="1:3" ht="15.75" x14ac:dyDescent="0.25">
      <c r="A20" s="100"/>
      <c r="B20" s="102"/>
      <c r="C20" s="104"/>
    </row>
    <row r="21" spans="1:3" ht="15.75" x14ac:dyDescent="0.25">
      <c r="A21" s="105"/>
      <c r="B21" s="102"/>
      <c r="C21" s="104"/>
    </row>
    <row r="22" spans="1:3" ht="31.5" x14ac:dyDescent="0.25">
      <c r="A22" s="72" t="s">
        <v>171</v>
      </c>
      <c r="B22" s="102">
        <v>37</v>
      </c>
      <c r="C22" s="106" t="s">
        <v>172</v>
      </c>
    </row>
    <row r="23" spans="1:3" ht="15.75" x14ac:dyDescent="0.25">
      <c r="A23" s="105"/>
      <c r="B23" s="107"/>
      <c r="C23" s="104"/>
    </row>
    <row r="24" spans="1:3" ht="15.75" x14ac:dyDescent="0.25">
      <c r="A24" s="108"/>
      <c r="B24" s="109"/>
      <c r="C24" s="110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23445/18</EnclosureFileNumber>
    <MeetingStartDate xmlns="d08b57ff-b9b7-4581-975d-98f87b579a51">2018-04-10T16:00:00+00:00</MeetingStartDate>
    <AgendaId xmlns="d08b57ff-b9b7-4581-975d-98f87b579a51">8169</AgendaId>
    <AccessLevel xmlns="d08b57ff-b9b7-4581-975d-98f87b579a51">1</AccessLevel>
    <EnclosureType xmlns="d08b57ff-b9b7-4581-975d-98f87b579a51">Enclosure</EnclosureType>
    <CommitteeName xmlns="d08b57ff-b9b7-4581-975d-98f87b579a51">Byrådet</CommitteeName>
    <FusionId xmlns="d08b57ff-b9b7-4581-975d-98f87b579a51">2805266</FusionId>
    <DocumentType xmlns="d08b57ff-b9b7-4581-975d-98f87b579a51"/>
    <AgendaAccessLevelName xmlns="d08b57ff-b9b7-4581-975d-98f87b579a51">Åben</AgendaAccessLevelName>
    <UNC xmlns="d08b57ff-b9b7-4581-975d-98f87b579a51">2547597</UNC>
    <MeetingDateAndTime xmlns="d08b57ff-b9b7-4581-975d-98f87b579a51">10-04-2018 fra 18:00 - 21:15</MeetingDateAndTime>
    <MeetingTitle xmlns="d08b57ff-b9b7-4581-975d-98f87b579a51">10-04-2018</MeetingTitle>
    <MeetingEndDate xmlns="d08b57ff-b9b7-4581-975d-98f87b579a51">2018-04-10T19:15:00+00:00</MeetingEndDate>
    <PWDescription xmlns="d08b57ff-b9b7-4581-975d-98f87b579a51">Forslag til tildeling på dagtilbudsområdet (5% socio-økonomi uden dagtilbudspuljen)
udarbejdet februar 2018</PWDescription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DCBC3314-894B-489C-83CA-39A3D681B8CE}"/>
</file>

<file path=customXml/itemProps2.xml><?xml version="1.0" encoding="utf-8"?>
<ds:datastoreItem xmlns:ds="http://schemas.openxmlformats.org/officeDocument/2006/customXml" ds:itemID="{4DC1C9EB-C7A1-4695-AF43-CE4E44916EE5}"/>
</file>

<file path=customXml/itemProps3.xml><?xml version="1.0" encoding="utf-8"?>
<ds:datastoreItem xmlns:ds="http://schemas.openxmlformats.org/officeDocument/2006/customXml" ds:itemID="{B0F6C8FE-35A2-44E5-B1B2-62C2990AD4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Tildeling i alt</vt:lpstr>
      <vt:lpstr>enhedspriser</vt:lpstr>
      <vt:lpstr>socio - øk </vt:lpstr>
      <vt:lpstr>Principper</vt:lpstr>
      <vt:lpstr>grundtildeling</vt:lpstr>
      <vt:lpstr>ledelse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BYR-10-04-2018 - Bilag 159.03 Endelig forslag til ny tildelingsmodel på dagtilbudsområdet pr 182018</dc:title>
  <dc:creator>Flemming Karlsen</dc:creator>
  <cp:lastModifiedBy>Jette Poulsen</cp:lastModifiedBy>
  <cp:lastPrinted>2018-02-21T11:23:02Z</cp:lastPrinted>
  <dcterms:created xsi:type="dcterms:W3CDTF">2016-10-06T06:01:27Z</dcterms:created>
  <dcterms:modified xsi:type="dcterms:W3CDTF">2018-04-03T14:00:07Z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